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20" yWindow="3780" windowWidth="29120" windowHeight="20680" tabRatio="500" activeTab="5"/>
  </bookViews>
  <sheets>
    <sheet name="Coil" sheetId="1" r:id="rId1"/>
    <sheet name="Bus_Bar" sheetId="2" r:id="rId2"/>
    <sheet name="Coil_Dims" sheetId="3" r:id="rId3"/>
    <sheet name="Inductances" sheetId="4" r:id="rId4"/>
    <sheet name="Circuit" sheetId="5" r:id="rId5"/>
    <sheet name="ELM_Design_Point" sheetId="6" r:id="rId6"/>
  </sheets>
  <definedNames>
    <definedName name="ncirc">'Coil'!#REF!</definedName>
    <definedName name="nrect">'Coil'!$G$3</definedName>
    <definedName name="solver_adj" localSheetId="1" hidden="1">'Bus_Bar'!$C$1,'Bus_Bar'!$C$5,'Bus_Bar'!$C$17</definedName>
    <definedName name="solver_adj" localSheetId="0" hidden="1">'Coil'!$C$18,'Coil'!$C$41,'Coil'!$C$38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'Bus_Bar'!$C$18</definedName>
    <definedName name="solver_lhs1" localSheetId="0" hidden="1">'Coil'!$C$90</definedName>
    <definedName name="solver_lhs2" localSheetId="1" hidden="1">'Bus_Bar'!$C$14</definedName>
    <definedName name="solver_lhs2" localSheetId="0" hidden="1">'Coil'!$C$42</definedName>
    <definedName name="solver_lhs3" localSheetId="1" hidden="1">'Bus_Bar'!$C$84</definedName>
    <definedName name="solver_lhs3" localSheetId="0" hidden="1">'Coil'!$C$20</definedName>
    <definedName name="solver_lhs4" localSheetId="1" hidden="1">'Bus_Bar'!$C$66</definedName>
    <definedName name="solver_lhs4" localSheetId="0" hidden="1">'Coil'!$C$110</definedName>
    <definedName name="solver_lhs5" localSheetId="1" hidden="1">'Bus_Bar'!$C$2</definedName>
    <definedName name="solver_lhs5" localSheetId="0" hidden="1">'Coil'!$C$38</definedName>
    <definedName name="solver_lhs6" localSheetId="1" hidden="1">'Bus_Bar'!$G$23</definedName>
    <definedName name="solver_lhs6" localSheetId="0" hidden="1">'Coil'!$C$4</definedName>
    <definedName name="solver_lhs7" localSheetId="1" hidden="1">'Bus_Bar'!$C$5</definedName>
    <definedName name="solver_lhs7" localSheetId="0" hidden="1">'Coil'!$C$20</definedName>
    <definedName name="solver_lhs8" localSheetId="1" hidden="1">'Bus_Bar'!$C$2</definedName>
    <definedName name="solver_lhs8" localSheetId="0" hidden="1">'Coil'!#REF!</definedName>
    <definedName name="solver_lhs9" localSheetId="1" hidden="1">'Bus_Bar'!$C$3</definedName>
    <definedName name="solver_lhs9" localSheetId="0" hidden="1">'Coil'!$D$30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9</definedName>
    <definedName name="solver_num" localSheetId="0" hidden="1">5</definedName>
    <definedName name="solver_nwt" localSheetId="1" hidden="1">1</definedName>
    <definedName name="solver_nwt" localSheetId="0" hidden="1">1</definedName>
    <definedName name="solver_opt" localSheetId="1" hidden="1">'Bus_Bar'!$D$8</definedName>
    <definedName name="solver_opt" localSheetId="0" hidden="1">'Coil'!$C$39</definedName>
    <definedName name="solver_pre" localSheetId="1" hidden="1">0.000001</definedName>
    <definedName name="solver_pre" localSheetId="0" hidden="1">0.000001</definedName>
    <definedName name="solver_rel1" localSheetId="1" hidden="1">1</definedName>
    <definedName name="solver_rel1" localSheetId="0" hidden="1">1</definedName>
    <definedName name="solver_rel2" localSheetId="1" hidden="1">1</definedName>
    <definedName name="solver_rel2" localSheetId="0" hidden="1">1</definedName>
    <definedName name="solver_rel3" localSheetId="1" hidden="1">1</definedName>
    <definedName name="solver_rel3" localSheetId="0" hidden="1">1</definedName>
    <definedName name="solver_rel4" localSheetId="1" hidden="1">1</definedName>
    <definedName name="solver_rel4" localSheetId="0" hidden="1">1</definedName>
    <definedName name="solver_rel5" localSheetId="1" hidden="1">2</definedName>
    <definedName name="solver_rel5" localSheetId="0" hidden="1">1</definedName>
    <definedName name="solver_rel6" localSheetId="1" hidden="1">1</definedName>
    <definedName name="solver_rel6" localSheetId="0" hidden="1">1</definedName>
    <definedName name="solver_rel7" localSheetId="1" hidden="1">3</definedName>
    <definedName name="solver_rel7" localSheetId="0" hidden="1">1</definedName>
    <definedName name="solver_rel8" localSheetId="1" hidden="1">3</definedName>
    <definedName name="solver_rel8" localSheetId="0" hidden="1">1</definedName>
    <definedName name="solver_rel9" localSheetId="1" hidden="1">3</definedName>
    <definedName name="solver_rel9" localSheetId="0" hidden="1">2</definedName>
    <definedName name="solver_rhs1" localSheetId="1" hidden="1">'Bus_Bar'!$C$19</definedName>
    <definedName name="solver_rhs1" localSheetId="0" hidden="1">'Coil'!$C$92</definedName>
    <definedName name="solver_rhs2" localSheetId="1" hidden="1">'Bus_Bar'!$C$15</definedName>
    <definedName name="solver_rhs2" localSheetId="0" hidden="1">'Coil'!$C$43</definedName>
    <definedName name="solver_rhs3" localSheetId="1" hidden="1">'Bus_Bar'!$C$85</definedName>
    <definedName name="solver_rhs3" localSheetId="0" hidden="1">'Coil'!$C$21</definedName>
    <definedName name="solver_rhs4" localSheetId="1" hidden="1">'Bus_Bar'!$C$68</definedName>
    <definedName name="solver_rhs4" localSheetId="0" hidden="1">'Coil'!$C$111</definedName>
    <definedName name="solver_rhs5" localSheetId="1" hidden="1">'Bus_Bar'!$C$3</definedName>
    <definedName name="solver_rhs5" localSheetId="0" hidden="1">1</definedName>
    <definedName name="solver_rhs6" localSheetId="1" hidden="1">0.1</definedName>
    <definedName name="solver_rhs6" localSheetId="0" hidden="1">1</definedName>
    <definedName name="solver_rhs7" localSheetId="1" hidden="1">0.01</definedName>
    <definedName name="solver_rhs7" localSheetId="0" hidden="1">'Coil'!$C$21</definedName>
    <definedName name="solver_rhs8" localSheetId="1" hidden="1">0.01</definedName>
    <definedName name="solver_rhs8" localSheetId="0" hidden="1">'Coil'!#REF!</definedName>
    <definedName name="solver_rhs9" localSheetId="1" hidden="1">0.01</definedName>
    <definedName name="solver_rhs9" localSheetId="0" hidden="1">19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1</definedName>
    <definedName name="solver_val" localSheetId="1" hidden="1">0</definedName>
    <definedName name="solver_val" localSheetId="0" hidden="1">1</definedName>
    <definedName name="T">'Coil'!$B$30</definedName>
  </definedNames>
  <calcPr fullCalcOnLoad="1"/>
</workbook>
</file>

<file path=xl/sharedStrings.xml><?xml version="1.0" encoding="utf-8"?>
<sst xmlns="http://schemas.openxmlformats.org/spreadsheetml/2006/main" count="524" uniqueCount="264">
  <si>
    <t>watt/cc</t>
  </si>
  <si>
    <t>Total heat load</t>
  </si>
  <si>
    <t>C2</t>
  </si>
  <si>
    <t>Total # bus bar poles</t>
  </si>
  <si>
    <t># Interleaves per coil</t>
  </si>
  <si>
    <t>A</t>
  </si>
  <si>
    <t>B</t>
  </si>
  <si>
    <t>C</t>
  </si>
  <si>
    <t>Boiling Pressure at Outlet Temp</t>
  </si>
  <si>
    <t>Return pressure multiple of boiling</t>
  </si>
  <si>
    <t>http://ddbonline.ddbst.de/AntoineCalculation/AntoineCalculationCGI.exe?component=Water</t>
  </si>
  <si>
    <t>#Poles in series hydraulically</t>
  </si>
  <si>
    <t>Water delta_T</t>
  </si>
  <si>
    <t>Total length per pole pair</t>
  </si>
  <si>
    <t>Jacket ID</t>
  </si>
  <si>
    <t>#Turns per sub-circuit</t>
  </si>
  <si>
    <t>Total conductor length per sub-circuit</t>
  </si>
  <si>
    <t>#Sub-circuits</t>
  </si>
  <si>
    <t>#Sub-circuits in series hydraulically</t>
  </si>
  <si>
    <t>#Sub-circuits in parallel hydraulically</t>
  </si>
  <si>
    <t>#Sub-circuits in series electrically</t>
  </si>
  <si>
    <t>Min power supply no-load voltage</t>
  </si>
  <si>
    <t>Selected PS voltage</t>
  </si>
  <si>
    <t>Net series/parallel circuit resistance at 20C</t>
  </si>
  <si>
    <t>Total bus bar resistance at 20C</t>
  </si>
  <si>
    <t>Total coil resistance at 20C</t>
  </si>
  <si>
    <t>Total coil resistance at average temperature</t>
  </si>
  <si>
    <t>Total heat load from bus bar to CCWS</t>
  </si>
  <si>
    <t>Total mass flow to bus bar from CCWS</t>
  </si>
  <si>
    <t>Grover, p. 60</t>
  </si>
  <si>
    <t>Coils</t>
  </si>
  <si>
    <t>Bus Bar</t>
  </si>
  <si>
    <t>Effective current center spacing</t>
  </si>
  <si>
    <t>Net series/parallel circuit resistance at average resistivity</t>
  </si>
  <si>
    <t>Total ohmic + nuclear heat load from coils to TCWS</t>
  </si>
  <si>
    <t>z2</t>
  </si>
  <si>
    <t>dtheta</t>
  </si>
  <si>
    <t>#Conductor in parallel electrically</t>
  </si>
  <si>
    <t>Inductance per conductor pair</t>
  </si>
  <si>
    <t>degrees</t>
  </si>
  <si>
    <t>Grover, p. 39</t>
  </si>
  <si>
    <t>Coil resistance</t>
  </si>
  <si>
    <t>Coil inductance</t>
  </si>
  <si>
    <t>Bus bar resistance</t>
  </si>
  <si>
    <t>Bus bar inductance</t>
  </si>
  <si>
    <t>kW/m</t>
  </si>
  <si>
    <t>Ohmic dissipation per pole</t>
  </si>
  <si>
    <t>Total ohmic dissipation, fraction of total coil + bus bar</t>
  </si>
  <si>
    <t>Aspect ratio</t>
  </si>
  <si>
    <t>#Coils in circuit</t>
  </si>
  <si>
    <t>#Turns effective</t>
  </si>
  <si>
    <t>amp</t>
  </si>
  <si>
    <t>Frequency</t>
  </si>
  <si>
    <t>Inductive reactance</t>
  </si>
  <si>
    <t>Complex impedance</t>
  </si>
  <si>
    <t>Total nuclear heating</t>
  </si>
  <si>
    <t>per unit</t>
  </si>
  <si>
    <t>Total Cu wetted surface to TCWS</t>
  </si>
  <si>
    <t>Total water volume in TCWS</t>
  </si>
  <si>
    <t>TCWS Inlet pressure</t>
  </si>
  <si>
    <t>TCWS Return pressure</t>
  </si>
  <si>
    <t>TCWS Water Inlet Temperature</t>
  </si>
  <si>
    <t>TCWS Water Outlet Temperature</t>
  </si>
  <si>
    <t>Total Coil Pressure Drop to TCWS</t>
  </si>
  <si>
    <t>Allowable inlet pressure</t>
  </si>
  <si>
    <t>Allowable delta_T</t>
  </si>
  <si>
    <t>Allowable flow velocity</t>
  </si>
  <si>
    <t>m</t>
  </si>
  <si>
    <t>ft</t>
  </si>
  <si>
    <t>in</t>
  </si>
  <si>
    <t>Flow velocity</t>
  </si>
  <si>
    <t>feet/sec</t>
  </si>
  <si>
    <t>m/s</t>
  </si>
  <si>
    <t>m3/s</t>
  </si>
  <si>
    <t>GPM</t>
  </si>
  <si>
    <t>cv0</t>
  </si>
  <si>
    <t>cv1</t>
  </si>
  <si>
    <t>Water Inlet Temperature</t>
  </si>
  <si>
    <t>Conductor width</t>
  </si>
  <si>
    <t>Conductor height</t>
  </si>
  <si>
    <t>Cooling hole diameter</t>
  </si>
  <si>
    <t>fraction cooling hole dia / min(width, height)</t>
  </si>
  <si>
    <t>Fraction of area to conductors</t>
  </si>
  <si>
    <t>Water Density</t>
  </si>
  <si>
    <t>kg/m3</t>
  </si>
  <si>
    <t>Water Kinematic Viscosity</t>
  </si>
  <si>
    <t>m2/s</t>
  </si>
  <si>
    <t>Total mass flow to coils from TCWS</t>
  </si>
  <si>
    <t>Plumbing Water Pressure Drop</t>
  </si>
  <si>
    <t>Total Pressure Drop</t>
  </si>
  <si>
    <t>deg C</t>
  </si>
  <si>
    <t>Specific Heat</t>
  </si>
  <si>
    <t>J/kg-C</t>
  </si>
  <si>
    <t>Max length of single conductor section</t>
  </si>
  <si>
    <t>Voltage drop</t>
  </si>
  <si>
    <t>volt</t>
  </si>
  <si>
    <t>Hz</t>
  </si>
  <si>
    <t>Active power</t>
  </si>
  <si>
    <t>watt</t>
  </si>
  <si>
    <t>AC Mode</t>
  </si>
  <si>
    <t>Total ohmic dissipation</t>
  </si>
  <si>
    <t>Volumetric nuclear heating rate</t>
  </si>
  <si>
    <t>z1</t>
  </si>
  <si>
    <t>r2</t>
  </si>
  <si>
    <t>Water Reynold's Number</t>
  </si>
  <si>
    <t>Water Friction Factor</t>
  </si>
  <si>
    <t>PA</t>
  </si>
  <si>
    <t>psi</t>
  </si>
  <si>
    <t>Fraction of area to structure</t>
  </si>
  <si>
    <t>Fraction ID/OD</t>
  </si>
  <si>
    <t>Fraction ID/OD allowable</t>
  </si>
  <si>
    <t>Fraction allowable</t>
  </si>
  <si>
    <t>Current</t>
  </si>
  <si>
    <t>Resistance per pole at 20C</t>
  </si>
  <si>
    <t>Resistance per pole at average temperature</t>
  </si>
  <si>
    <t>Total bus bar inductance</t>
  </si>
  <si>
    <t>henry</t>
  </si>
  <si>
    <t>Water thermal resistance per pole</t>
  </si>
  <si>
    <t>Watt/deg C</t>
  </si>
  <si>
    <t>Apparent power</t>
  </si>
  <si>
    <t>Reactive power</t>
  </si>
  <si>
    <t>volt-amp-reactive</t>
  </si>
  <si>
    <t>volt-amp</t>
  </si>
  <si>
    <t>DC Mode</t>
  </si>
  <si>
    <t>Phase angle</t>
  </si>
  <si>
    <t>Current at peak voltage</t>
  </si>
  <si>
    <t>Power supply regulation at full load</t>
  </si>
  <si>
    <t>Power supply regulation at current at peak voltage</t>
  </si>
  <si>
    <t>Water Average Temperature</t>
  </si>
  <si>
    <t>cs0</t>
  </si>
  <si>
    <t>cs1</t>
  </si>
  <si>
    <t>cs2</t>
  </si>
  <si>
    <t>cs3</t>
  </si>
  <si>
    <t>cs4</t>
  </si>
  <si>
    <t>Cu heat capacity</t>
  </si>
  <si>
    <t>J/degC</t>
  </si>
  <si>
    <t>delta_T/sec (LOCW)</t>
  </si>
  <si>
    <t>degC/sec</t>
  </si>
  <si>
    <t>Jacket thickness</t>
  </si>
  <si>
    <t>Insulation thickness</t>
  </si>
  <si>
    <t>#Turns</t>
  </si>
  <si>
    <t>Base total current</t>
  </si>
  <si>
    <t>kW</t>
  </si>
  <si>
    <t>100% IACS Resistivity at 20C</t>
  </si>
  <si>
    <t>ohm-m</t>
  </si>
  <si>
    <t>%IACS</t>
  </si>
  <si>
    <t>per deg C</t>
  </si>
  <si>
    <t>Average Resisitivity</t>
  </si>
  <si>
    <t>Temp Coefficient of Resistivity</t>
  </si>
  <si>
    <t>Watt</t>
  </si>
  <si>
    <t>Amp rms</t>
  </si>
  <si>
    <t>ohm</t>
  </si>
  <si>
    <t>Resistivity at 20C</t>
  </si>
  <si>
    <t>Conductor area</t>
  </si>
  <si>
    <t>m2</t>
  </si>
  <si>
    <t>delta_T</t>
  </si>
  <si>
    <t>p.u.</t>
  </si>
  <si>
    <t>Form factor (rms/peak)</t>
  </si>
  <si>
    <t>J/kg-degC</t>
  </si>
  <si>
    <t>Cu density</t>
  </si>
  <si>
    <t>Cu specific heat at avg temp</t>
  </si>
  <si>
    <t>Load power factor</t>
  </si>
  <si>
    <t>Net power factor</t>
  </si>
  <si>
    <t>Coil</t>
  </si>
  <si>
    <t>a</t>
  </si>
  <si>
    <t>a1</t>
  </si>
  <si>
    <t>b</t>
  </si>
  <si>
    <t>g</t>
  </si>
  <si>
    <t>Grover, p. 70</t>
  </si>
  <si>
    <t>Grover ex. 22</t>
  </si>
  <si>
    <t>A1</t>
  </si>
  <si>
    <t>B1</t>
  </si>
  <si>
    <t>C1</t>
  </si>
  <si>
    <t>A2</t>
  </si>
  <si>
    <t>B2</t>
  </si>
  <si>
    <t>MPA</t>
  </si>
  <si>
    <t>Hydraulic path delta_P</t>
  </si>
  <si>
    <t>Conductor metallic area per turn</t>
  </si>
  <si>
    <t>m3</t>
  </si>
  <si>
    <t>Total metallic volume</t>
  </si>
  <si>
    <t>Per unit current</t>
  </si>
  <si>
    <t>Amp-turn rms</t>
  </si>
  <si>
    <t>Conductor length per turn</t>
  </si>
  <si>
    <t>Water thermal resistance</t>
  </si>
  <si>
    <t>Cooling hole area</t>
  </si>
  <si>
    <t>Cu 20C specific heat</t>
  </si>
  <si>
    <t>Cu temp coefficient of specific heat</t>
  </si>
  <si>
    <t>Number of pole pairs</t>
  </si>
  <si>
    <t>Shaft to chimney allowance</t>
  </si>
  <si>
    <t>Avg conductor length per pole</t>
  </si>
  <si>
    <t>Max billet</t>
  </si>
  <si>
    <t>kg</t>
  </si>
  <si>
    <t>Flow per conductor</t>
  </si>
  <si>
    <t>Mass flow per conductor</t>
  </si>
  <si>
    <t>#Conductor in parallel electrically and hydraulically per pole</t>
  </si>
  <si>
    <t>Base peak current</t>
  </si>
  <si>
    <t xml:space="preserve">Upper </t>
  </si>
  <si>
    <t>Equatorial</t>
  </si>
  <si>
    <t>Lower</t>
  </si>
  <si>
    <t>r1</t>
  </si>
  <si>
    <t>Amp-turn</t>
  </si>
  <si>
    <t>Jacket area</t>
  </si>
  <si>
    <t>Structure metallic area</t>
  </si>
  <si>
    <t>Total metallic area</t>
  </si>
  <si>
    <t>Allowable Water Outlet Temperature</t>
  </si>
  <si>
    <t>Inlet pressure</t>
  </si>
  <si>
    <t>Conductor OD</t>
  </si>
  <si>
    <t>Jacket OD</t>
  </si>
  <si>
    <t>Conductor ID</t>
  </si>
  <si>
    <t>Total circuit resistance at 20C</t>
  </si>
  <si>
    <t>Total circuit resistance at average temperature</t>
  </si>
  <si>
    <t>Total bus bar resistance at average temperature</t>
  </si>
  <si>
    <t>#Sub-circuits in parallel electrically</t>
  </si>
  <si>
    <t>Feeder length per pole</t>
  </si>
  <si>
    <t>TOTAL ELM SYSTEM</t>
  </si>
  <si>
    <t>Total input active power</t>
  </si>
  <si>
    <t>Total input reactive power</t>
  </si>
  <si>
    <t>Total input apparent power</t>
  </si>
  <si>
    <t># coils</t>
  </si>
  <si>
    <t>Simultaneity factor</t>
  </si>
  <si>
    <t>Upper toroidal length</t>
  </si>
  <si>
    <t>Lower toroidal length</t>
  </si>
  <si>
    <t>Average toroidal length</t>
  </si>
  <si>
    <t>Poloidal length</t>
  </si>
  <si>
    <t>Length per turn</t>
  </si>
  <si>
    <t>Conductor pack width</t>
  </si>
  <si>
    <t>Conductor pack height</t>
  </si>
  <si>
    <t>Effective radius</t>
  </si>
  <si>
    <t>One-turn inductance</t>
  </si>
  <si>
    <t>Multi-turn inductance</t>
  </si>
  <si>
    <t>Total circuit resistance</t>
  </si>
  <si>
    <t>Total circuit inductance</t>
  </si>
  <si>
    <t>Current per turn</t>
  </si>
  <si>
    <t>Distance between conductors</t>
  </si>
  <si>
    <t>Effective conductor radius</t>
  </si>
  <si>
    <t>Length per pole</t>
  </si>
  <si>
    <t>Inductance per pole pair</t>
  </si>
  <si>
    <t>Heat load per hydraulic circuit</t>
  </si>
  <si>
    <t>Base current</t>
  </si>
  <si>
    <t>Mass flow per sub-circuit</t>
  </si>
  <si>
    <t>mm</t>
  </si>
  <si>
    <t>Flow per sub-circuit</t>
  </si>
  <si>
    <t>kg/s</t>
  </si>
  <si>
    <t>Total flow</t>
  </si>
  <si>
    <t>Total mass flow</t>
  </si>
  <si>
    <t>Ohmic dissipation per unit length</t>
  </si>
  <si>
    <t>cv2</t>
  </si>
  <si>
    <t>cv3</t>
  </si>
  <si>
    <t>cv4</t>
  </si>
  <si>
    <t>Maximum temperature</t>
  </si>
  <si>
    <t>ELM COIL</t>
  </si>
  <si>
    <t>ELM BUS BAR</t>
  </si>
  <si>
    <t>TOTAL ELM CIRCUIT</t>
  </si>
  <si>
    <t>cv5</t>
  </si>
  <si>
    <t>cv6</t>
  </si>
  <si>
    <t>Water Dynamic Viscosity</t>
  </si>
  <si>
    <t>kG/m-s</t>
  </si>
  <si>
    <t>cd0</t>
  </si>
  <si>
    <t>cd1</t>
  </si>
  <si>
    <t>cd2</t>
  </si>
  <si>
    <t>Current per turn effective</t>
  </si>
  <si>
    <t>Current per sub-circuit</t>
  </si>
  <si>
    <t>mOhm</t>
  </si>
  <si>
    <t>Return pressure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</si>
</sst>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E+00"/>
    <numFmt numFmtId="169" formatCode="m/d/yyyy"/>
    <numFmt numFmtId="170" formatCode="0.0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2"/>
      <color indexed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11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166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66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7" fontId="7" fillId="3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/>
    </xf>
    <xf numFmtId="164" fontId="7" fillId="2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/>
    </xf>
    <xf numFmtId="167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1" fontId="7" fillId="0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Alignment="1">
      <alignment horizontal="center"/>
    </xf>
    <xf numFmtId="167" fontId="7" fillId="0" borderId="0" xfId="0" applyNumberFormat="1" applyFont="1" applyAlignment="1">
      <alignment/>
    </xf>
    <xf numFmtId="167" fontId="7" fillId="2" borderId="1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7" fillId="0" borderId="0" xfId="0" applyFont="1" applyBorder="1" applyAlignment="1">
      <alignment/>
    </xf>
    <xf numFmtId="11" fontId="7" fillId="0" borderId="0" xfId="0" applyNumberFormat="1" applyFont="1" applyBorder="1" applyAlignment="1">
      <alignment/>
    </xf>
    <xf numFmtId="1" fontId="7" fillId="2" borderId="1" xfId="0" applyNumberFormat="1" applyFont="1" applyFill="1" applyBorder="1" applyAlignment="1">
      <alignment/>
    </xf>
    <xf numFmtId="170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1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6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67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5" borderId="13" xfId="0" applyFont="1" applyFill="1" applyBorder="1" applyAlignment="1">
      <alignment/>
    </xf>
    <xf numFmtId="0" fontId="7" fillId="5" borderId="14" xfId="0" applyFont="1" applyFill="1" applyBorder="1" applyAlignment="1">
      <alignment horizontal="center"/>
    </xf>
    <xf numFmtId="11" fontId="7" fillId="5" borderId="14" xfId="0" applyNumberFormat="1" applyFont="1" applyFill="1" applyBorder="1" applyAlignment="1">
      <alignment horizontal="center"/>
    </xf>
    <xf numFmtId="1" fontId="7" fillId="5" borderId="14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/>
    </xf>
    <xf numFmtId="0" fontId="7" fillId="5" borderId="16" xfId="0" applyFont="1" applyFill="1" applyBorder="1" applyAlignment="1">
      <alignment horizontal="center"/>
    </xf>
    <xf numFmtId="164" fontId="7" fillId="5" borderId="17" xfId="0" applyNumberFormat="1" applyFont="1" applyFill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1" fontId="7" fillId="0" borderId="12" xfId="0" applyNumberFormat="1" applyFont="1" applyBorder="1" applyAlignment="1">
      <alignment horizontal="center"/>
    </xf>
    <xf numFmtId="11" fontId="7" fillId="0" borderId="6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1" fontId="7" fillId="0" borderId="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0</xdr:rowOff>
    </xdr:from>
    <xdr:to>
      <xdr:col>5</xdr:col>
      <xdr:colOff>781050</xdr:colOff>
      <xdr:row>17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50196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</xdr:row>
      <xdr:rowOff>57150</xdr:rowOff>
    </xdr:from>
    <xdr:to>
      <xdr:col>16</xdr:col>
      <xdr:colOff>247650</xdr:colOff>
      <xdr:row>31</xdr:row>
      <xdr:rowOff>95250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44550" y="247650"/>
          <a:ext cx="522922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36</xdr:row>
      <xdr:rowOff>180975</xdr:rowOff>
    </xdr:from>
    <xdr:to>
      <xdr:col>5</xdr:col>
      <xdr:colOff>838200</xdr:colOff>
      <xdr:row>55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7381875"/>
          <a:ext cx="50863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workbookViewId="0" topLeftCell="A32">
      <selection activeCell="E59" sqref="E59:G60"/>
    </sheetView>
  </sheetViews>
  <sheetFormatPr defaultColWidth="11.00390625" defaultRowHeight="12.75"/>
  <cols>
    <col min="1" max="1" width="56.00390625" style="2" customWidth="1"/>
    <col min="2" max="2" width="13.125" style="2" bestFit="1" customWidth="1"/>
    <col min="3" max="3" width="12.00390625" style="16" bestFit="1" customWidth="1"/>
    <col min="4" max="4" width="10.75390625" style="2" customWidth="1"/>
    <col min="5" max="5" width="55.75390625" style="2" customWidth="1"/>
    <col min="6" max="6" width="14.125" style="2" customWidth="1"/>
    <col min="7" max="7" width="10.75390625" style="16" customWidth="1"/>
    <col min="8" max="8" width="10.75390625" style="2" customWidth="1"/>
    <col min="9" max="9" width="8.375" style="2" bestFit="1" customWidth="1"/>
    <col min="10" max="10" width="8.375" style="2" customWidth="1"/>
    <col min="11" max="11" width="6.75390625" style="2" bestFit="1" customWidth="1"/>
    <col min="12" max="12" width="7.125" style="2" bestFit="1" customWidth="1"/>
    <col min="13" max="13" width="7.875" style="2" bestFit="1" customWidth="1"/>
    <col min="14" max="15" width="7.125" style="2" bestFit="1" customWidth="1"/>
    <col min="16" max="17" width="7.125" style="2" customWidth="1"/>
    <col min="18" max="18" width="9.00390625" style="2" bestFit="1" customWidth="1"/>
    <col min="19" max="19" width="9.75390625" style="2" bestFit="1" customWidth="1"/>
    <col min="20" max="20" width="8.125" style="2" bestFit="1" customWidth="1"/>
    <col min="21" max="21" width="9.25390625" style="2" bestFit="1" customWidth="1"/>
    <col min="22" max="22" width="7.75390625" style="2" bestFit="1" customWidth="1"/>
    <col min="23" max="23" width="9.75390625" style="2" bestFit="1" customWidth="1"/>
    <col min="24" max="24" width="7.25390625" style="2" bestFit="1" customWidth="1"/>
    <col min="25" max="26" width="10.875" style="2" bestFit="1" customWidth="1"/>
    <col min="27" max="16384" width="10.75390625" style="2" customWidth="1"/>
  </cols>
  <sheetData>
    <row r="1" spans="1:3" ht="15">
      <c r="A1" s="1" t="s">
        <v>225</v>
      </c>
      <c r="B1" s="1" t="s">
        <v>67</v>
      </c>
      <c r="C1" s="20">
        <v>0.123</v>
      </c>
    </row>
    <row r="2" spans="1:3" ht="15">
      <c r="A2" s="1" t="s">
        <v>226</v>
      </c>
      <c r="B2" s="1" t="s">
        <v>67</v>
      </c>
      <c r="C2" s="20">
        <f>0.193-0.017</f>
        <v>0.176</v>
      </c>
    </row>
    <row r="3" spans="1:3" ht="15">
      <c r="A3" s="1" t="s">
        <v>82</v>
      </c>
      <c r="B3" s="1"/>
      <c r="C3" s="18">
        <f>C7*PI()/4*C11^2/C1/C2</f>
        <v>0.6347619302846339</v>
      </c>
    </row>
    <row r="4" spans="1:3" ht="15">
      <c r="A4" s="1" t="s">
        <v>108</v>
      </c>
      <c r="B4" s="1"/>
      <c r="C4" s="18">
        <f>1-C3</f>
        <v>0.3652380697153661</v>
      </c>
    </row>
    <row r="5" spans="1:3" ht="15">
      <c r="A5" s="1" t="s">
        <v>138</v>
      </c>
      <c r="B5" s="1" t="s">
        <v>67</v>
      </c>
      <c r="C5" s="20">
        <v>0.002</v>
      </c>
    </row>
    <row r="6" spans="1:3" ht="15">
      <c r="A6" s="1" t="s">
        <v>139</v>
      </c>
      <c r="B6" s="1" t="s">
        <v>67</v>
      </c>
      <c r="C6" s="20">
        <v>0.0025</v>
      </c>
    </row>
    <row r="7" spans="1:3" ht="15">
      <c r="A7" s="1" t="s">
        <v>140</v>
      </c>
      <c r="B7" s="1"/>
      <c r="C7" s="3">
        <v>6</v>
      </c>
    </row>
    <row r="8" spans="1:3" ht="15">
      <c r="A8" s="1" t="s">
        <v>195</v>
      </c>
      <c r="B8" s="1" t="s">
        <v>200</v>
      </c>
      <c r="C8" s="3">
        <v>90000</v>
      </c>
    </row>
    <row r="9" spans="1:3" ht="15">
      <c r="A9" s="1" t="s">
        <v>157</v>
      </c>
      <c r="B9" s="1"/>
      <c r="C9" s="3">
        <v>1</v>
      </c>
    </row>
    <row r="10" spans="1:3" ht="15">
      <c r="A10" s="1" t="s">
        <v>141</v>
      </c>
      <c r="B10" s="1" t="s">
        <v>181</v>
      </c>
      <c r="C10" s="7">
        <f>C8*C9</f>
        <v>90000</v>
      </c>
    </row>
    <row r="11" spans="1:3" ht="15">
      <c r="A11" s="1" t="s">
        <v>207</v>
      </c>
      <c r="B11" s="17" t="s">
        <v>67</v>
      </c>
      <c r="C11" s="10">
        <v>0.054</v>
      </c>
    </row>
    <row r="12" spans="1:3" ht="15">
      <c r="A12" s="1" t="s">
        <v>207</v>
      </c>
      <c r="B12" s="17" t="s">
        <v>69</v>
      </c>
      <c r="C12" s="18">
        <f>C11*100/2.54</f>
        <v>2.125984251968504</v>
      </c>
    </row>
    <row r="13" spans="1:3" ht="15">
      <c r="A13" s="1" t="s">
        <v>14</v>
      </c>
      <c r="B13" s="17" t="s">
        <v>67</v>
      </c>
      <c r="C13" s="33">
        <f>C11-2*C5</f>
        <v>0.05</v>
      </c>
    </row>
    <row r="14" spans="1:3" ht="15">
      <c r="A14" s="1" t="s">
        <v>14</v>
      </c>
      <c r="B14" s="17" t="s">
        <v>69</v>
      </c>
      <c r="C14" s="18">
        <f>C13*100/2.54</f>
        <v>1.968503937007874</v>
      </c>
    </row>
    <row r="15" spans="1:3" ht="15">
      <c r="A15" s="1" t="s">
        <v>201</v>
      </c>
      <c r="B15" s="19" t="s">
        <v>154</v>
      </c>
      <c r="C15" s="8">
        <f>PI()/4*(C11^2-C13^2)</f>
        <v>0.0003267256359733379</v>
      </c>
    </row>
    <row r="16" spans="1:3" ht="15">
      <c r="A16" s="1" t="s">
        <v>206</v>
      </c>
      <c r="B16" s="17" t="s">
        <v>67</v>
      </c>
      <c r="C16" s="33">
        <f>C11-2*(C5+C6)</f>
        <v>0.045</v>
      </c>
    </row>
    <row r="17" spans="1:3" ht="15">
      <c r="A17" s="1" t="s">
        <v>206</v>
      </c>
      <c r="B17" s="17" t="s">
        <v>69</v>
      </c>
      <c r="C17" s="18">
        <f>C16*100/2.54</f>
        <v>1.7716535433070866</v>
      </c>
    </row>
    <row r="18" spans="1:3" ht="15">
      <c r="A18" s="1" t="s">
        <v>208</v>
      </c>
      <c r="B18" s="19" t="s">
        <v>67</v>
      </c>
      <c r="C18" s="23">
        <v>0.03</v>
      </c>
    </row>
    <row r="19" spans="1:3" ht="15">
      <c r="A19" s="1" t="s">
        <v>208</v>
      </c>
      <c r="B19" s="19" t="s">
        <v>69</v>
      </c>
      <c r="C19" s="18">
        <f>C18*100/2.54</f>
        <v>1.1811023622047243</v>
      </c>
    </row>
    <row r="20" spans="1:7" ht="15">
      <c r="A20" s="1" t="s">
        <v>109</v>
      </c>
      <c r="B20" s="19"/>
      <c r="C20" s="18">
        <f>C18/C16</f>
        <v>0.6666666666666666</v>
      </c>
      <c r="E20" s="1" t="str">
        <f>A11</f>
        <v>Jacket OD</v>
      </c>
      <c r="F20" s="1" t="s">
        <v>240</v>
      </c>
      <c r="G20" s="40">
        <f>C11*1000</f>
        <v>54</v>
      </c>
    </row>
    <row r="21" spans="1:7" ht="15">
      <c r="A21" s="1" t="s">
        <v>110</v>
      </c>
      <c r="B21" s="19"/>
      <c r="C21" s="20">
        <v>0.6666666666666666</v>
      </c>
      <c r="E21" s="1" t="str">
        <f>A5</f>
        <v>Jacket thickness</v>
      </c>
      <c r="F21" s="1" t="s">
        <v>240</v>
      </c>
      <c r="G21" s="40">
        <f>C5*1000</f>
        <v>2</v>
      </c>
    </row>
    <row r="22" spans="1:7" ht="15">
      <c r="A22" s="1" t="s">
        <v>153</v>
      </c>
      <c r="B22" s="19" t="s">
        <v>154</v>
      </c>
      <c r="C22" s="8">
        <f>PI()/4*(C16^2-C18^2)</f>
        <v>0.0008835729338221292</v>
      </c>
      <c r="E22" s="1" t="str">
        <f>A6</f>
        <v>Insulation thickness</v>
      </c>
      <c r="F22" s="1" t="s">
        <v>240</v>
      </c>
      <c r="G22" s="40">
        <f>C6*1000</f>
        <v>2.5</v>
      </c>
    </row>
    <row r="23" spans="1:7" ht="15">
      <c r="A23" s="1" t="s">
        <v>184</v>
      </c>
      <c r="B23" s="19" t="s">
        <v>154</v>
      </c>
      <c r="C23" s="8">
        <f>PI()/4*C18^2</f>
        <v>0.0007068583470577034</v>
      </c>
      <c r="E23" s="1" t="str">
        <f>A16</f>
        <v>Conductor OD</v>
      </c>
      <c r="F23" s="1" t="s">
        <v>240</v>
      </c>
      <c r="G23" s="40">
        <f>C16*1000</f>
        <v>45</v>
      </c>
    </row>
    <row r="24" spans="1:7" ht="15">
      <c r="A24" s="1" t="s">
        <v>182</v>
      </c>
      <c r="B24" s="19" t="s">
        <v>67</v>
      </c>
      <c r="C24" s="33">
        <f>MAX(Coil_Dims!C12:E12)</f>
        <v>10.885061831820686</v>
      </c>
      <c r="E24" s="1" t="str">
        <f>A18</f>
        <v>Conductor ID</v>
      </c>
      <c r="F24" s="1" t="s">
        <v>240</v>
      </c>
      <c r="G24" s="40">
        <f>C18*1000</f>
        <v>30</v>
      </c>
    </row>
    <row r="25" spans="1:7" ht="15">
      <c r="A25" s="1" t="s">
        <v>182</v>
      </c>
      <c r="B25" s="19" t="s">
        <v>68</v>
      </c>
      <c r="C25" s="9">
        <f>C24*100/2.54/12</f>
        <v>35.712145117521935</v>
      </c>
      <c r="E25" s="1" t="str">
        <f>A24</f>
        <v>Conductor length per turn</v>
      </c>
      <c r="F25" s="1" t="str">
        <f>B24</f>
        <v>m</v>
      </c>
      <c r="G25" s="40">
        <f>C24</f>
        <v>10.885061831820686</v>
      </c>
    </row>
    <row r="26" spans="1:7" ht="15">
      <c r="A26" s="1" t="s">
        <v>213</v>
      </c>
      <c r="B26" s="19" t="s">
        <v>67</v>
      </c>
      <c r="C26" s="10">
        <v>14</v>
      </c>
      <c r="E26" s="1" t="str">
        <f>A26</f>
        <v>Feeder length per pole</v>
      </c>
      <c r="F26" s="1" t="str">
        <f>B26</f>
        <v>m</v>
      </c>
      <c r="G26" s="40">
        <f>C26</f>
        <v>14</v>
      </c>
    </row>
    <row r="27" spans="1:7" ht="15">
      <c r="A27" s="1" t="s">
        <v>213</v>
      </c>
      <c r="B27" s="19" t="s">
        <v>68</v>
      </c>
      <c r="C27" s="9">
        <f>C26*100/2.54/12</f>
        <v>45.93175853018372</v>
      </c>
      <c r="E27" s="1" t="str">
        <f aca="true" t="shared" si="0" ref="E27:E34">A28</f>
        <v>#Sub-circuits</v>
      </c>
      <c r="F27" s="1"/>
      <c r="G27" s="12">
        <f aca="true" t="shared" si="1" ref="G27:G34">C28</f>
        <v>1</v>
      </c>
    </row>
    <row r="28" spans="1:7" ht="15">
      <c r="A28" s="15" t="s">
        <v>17</v>
      </c>
      <c r="B28" s="15"/>
      <c r="C28" s="3">
        <v>1</v>
      </c>
      <c r="E28" s="1" t="str">
        <f t="shared" si="0"/>
        <v>#Turns per sub-circuit</v>
      </c>
      <c r="F28" s="1"/>
      <c r="G28" s="12">
        <f t="shared" si="1"/>
        <v>6</v>
      </c>
    </row>
    <row r="29" spans="1:7" ht="15">
      <c r="A29" s="15" t="s">
        <v>15</v>
      </c>
      <c r="B29" s="15"/>
      <c r="C29" s="7">
        <f>C7/C28</f>
        <v>6</v>
      </c>
      <c r="E29" s="1" t="str">
        <f t="shared" si="0"/>
        <v>Total conductor length per sub-circuit</v>
      </c>
      <c r="F29" s="1" t="str">
        <f>B30</f>
        <v>m</v>
      </c>
      <c r="G29" s="40">
        <f t="shared" si="1"/>
        <v>93.31037099092411</v>
      </c>
    </row>
    <row r="30" spans="1:7" ht="15">
      <c r="A30" s="1" t="s">
        <v>16</v>
      </c>
      <c r="B30" s="19" t="s">
        <v>67</v>
      </c>
      <c r="C30" s="21">
        <f>C24*C29+2*C26</f>
        <v>93.31037099092411</v>
      </c>
      <c r="E30" s="1" t="str">
        <f t="shared" si="0"/>
        <v>Total conductor length per sub-circuit</v>
      </c>
      <c r="F30" s="1" t="str">
        <f>B31</f>
        <v>ft</v>
      </c>
      <c r="G30" s="40">
        <f t="shared" si="1"/>
        <v>306.136387765499</v>
      </c>
    </row>
    <row r="31" spans="1:7" ht="15">
      <c r="A31" s="1" t="s">
        <v>16</v>
      </c>
      <c r="B31" s="19" t="s">
        <v>68</v>
      </c>
      <c r="C31" s="4">
        <f>C30*100/2.54/12</f>
        <v>306.136387765499</v>
      </c>
      <c r="E31" s="1" t="str">
        <f t="shared" si="0"/>
        <v>#Sub-circuits in series hydraulically</v>
      </c>
      <c r="F31" s="1"/>
      <c r="G31" s="12">
        <f t="shared" si="1"/>
        <v>1</v>
      </c>
    </row>
    <row r="32" spans="1:7" ht="15">
      <c r="A32" s="15" t="s">
        <v>18</v>
      </c>
      <c r="B32" s="15"/>
      <c r="C32" s="3">
        <v>1</v>
      </c>
      <c r="E32" s="1" t="str">
        <f t="shared" si="0"/>
        <v>#Sub-circuits in parallel hydraulically</v>
      </c>
      <c r="F32" s="1"/>
      <c r="G32" s="12">
        <f t="shared" si="1"/>
        <v>1</v>
      </c>
    </row>
    <row r="33" spans="1:7" ht="15.75">
      <c r="A33" s="15" t="s">
        <v>19</v>
      </c>
      <c r="B33" s="15"/>
      <c r="C33" s="7">
        <f>C28/C32</f>
        <v>1</v>
      </c>
      <c r="E33" s="1" t="str">
        <f t="shared" si="0"/>
        <v>#Sub-circuits in series electrically</v>
      </c>
      <c r="F33" s="1"/>
      <c r="G33" s="12">
        <f t="shared" si="1"/>
        <v>1</v>
      </c>
    </row>
    <row r="34" spans="1:7" ht="15.75">
      <c r="A34" s="15" t="s">
        <v>20</v>
      </c>
      <c r="B34" s="15"/>
      <c r="C34" s="3">
        <v>1</v>
      </c>
      <c r="E34" s="1" t="str">
        <f t="shared" si="0"/>
        <v>#Sub-circuits in parallel electrically</v>
      </c>
      <c r="F34" s="1"/>
      <c r="G34" s="12">
        <f t="shared" si="1"/>
        <v>1</v>
      </c>
    </row>
    <row r="35" spans="1:7" ht="15.75">
      <c r="A35" s="15" t="s">
        <v>212</v>
      </c>
      <c r="B35" s="15"/>
      <c r="C35" s="7">
        <f>C28/C34</f>
        <v>1</v>
      </c>
      <c r="E35" s="1" t="str">
        <f>A10</f>
        <v>Base total current</v>
      </c>
      <c r="F35" s="1" t="str">
        <f>B10</f>
        <v>Amp-turn rms</v>
      </c>
      <c r="G35" s="12">
        <f>C10</f>
        <v>90000</v>
      </c>
    </row>
    <row r="36" spans="1:7" ht="15.75">
      <c r="A36" s="2" t="s">
        <v>50</v>
      </c>
      <c r="B36" s="15"/>
      <c r="C36" s="7">
        <f>C7/C35</f>
        <v>6</v>
      </c>
      <c r="E36" s="1" t="str">
        <f>A36</f>
        <v>#Turns effective</v>
      </c>
      <c r="F36" s="1"/>
      <c r="G36" s="12">
        <f>C36</f>
        <v>6</v>
      </c>
    </row>
    <row r="37" spans="1:7" ht="15.75">
      <c r="A37" s="1" t="s">
        <v>238</v>
      </c>
      <c r="B37" s="1" t="s">
        <v>150</v>
      </c>
      <c r="C37" s="7">
        <f>C10/C7*C35</f>
        <v>15000</v>
      </c>
      <c r="E37" s="1" t="str">
        <f aca="true" t="shared" si="2" ref="E37:G39">A38</f>
        <v>Per unit current</v>
      </c>
      <c r="F37" s="1" t="str">
        <f t="shared" si="2"/>
        <v>p.u.</v>
      </c>
      <c r="G37" s="11">
        <f t="shared" si="2"/>
        <v>1</v>
      </c>
    </row>
    <row r="38" spans="1:7" ht="15.75">
      <c r="A38" s="1" t="s">
        <v>180</v>
      </c>
      <c r="B38" s="1" t="s">
        <v>156</v>
      </c>
      <c r="C38" s="5">
        <v>1</v>
      </c>
      <c r="E38" s="1" t="str">
        <f t="shared" si="2"/>
        <v>Current per turn effective</v>
      </c>
      <c r="F38" s="1" t="str">
        <f t="shared" si="2"/>
        <v>Amp rms</v>
      </c>
      <c r="G38" s="4">
        <f t="shared" si="2"/>
        <v>15000</v>
      </c>
    </row>
    <row r="39" spans="1:7" ht="15.75">
      <c r="A39" s="1" t="s">
        <v>260</v>
      </c>
      <c r="B39" s="6" t="s">
        <v>150</v>
      </c>
      <c r="C39" s="7">
        <f>C38*C37</f>
        <v>15000</v>
      </c>
      <c r="E39" s="1" t="str">
        <f t="shared" si="2"/>
        <v>Current per sub-circuit</v>
      </c>
      <c r="F39" s="1" t="str">
        <f t="shared" si="2"/>
        <v>Amp rms</v>
      </c>
      <c r="G39" s="4">
        <f t="shared" si="2"/>
        <v>15000</v>
      </c>
    </row>
    <row r="40" spans="1:7" ht="15.75">
      <c r="A40" s="1" t="s">
        <v>261</v>
      </c>
      <c r="B40" s="6" t="s">
        <v>150</v>
      </c>
      <c r="C40" s="7">
        <f>C39/C35</f>
        <v>15000</v>
      </c>
      <c r="E40" s="1" t="str">
        <f>A97</f>
        <v>Net series/parallel circuit resistance at 20C</v>
      </c>
      <c r="F40" s="1" t="s">
        <v>262</v>
      </c>
      <c r="G40" s="9">
        <f>C97*1000</f>
        <v>1.820748513985582</v>
      </c>
    </row>
    <row r="41" spans="1:7" ht="15.75">
      <c r="A41" s="1" t="s">
        <v>70</v>
      </c>
      <c r="B41" s="1" t="s">
        <v>71</v>
      </c>
      <c r="C41" s="5">
        <v>19.901669344373776</v>
      </c>
      <c r="E41" s="1" t="str">
        <f>A42</f>
        <v>Flow velocity</v>
      </c>
      <c r="F41" s="1" t="str">
        <f>B42</f>
        <v>m/s</v>
      </c>
      <c r="G41" s="40">
        <f>C42</f>
        <v>6.066028816165127</v>
      </c>
    </row>
    <row r="42" spans="1:7" ht="15.75">
      <c r="A42" s="1" t="s">
        <v>70</v>
      </c>
      <c r="B42" s="1" t="s">
        <v>72</v>
      </c>
      <c r="C42" s="26">
        <f>C41*12*2.54/100</f>
        <v>6.066028816165127</v>
      </c>
      <c r="E42" s="1" t="str">
        <f>A47</f>
        <v>Water Inlet Temperature</v>
      </c>
      <c r="F42" s="1" t="str">
        <f>B47</f>
        <v>deg C</v>
      </c>
      <c r="G42" s="12">
        <f>C47</f>
        <v>100</v>
      </c>
    </row>
    <row r="43" spans="1:7" ht="15.75">
      <c r="A43" s="1" t="s">
        <v>66</v>
      </c>
      <c r="B43" s="1" t="s">
        <v>72</v>
      </c>
      <c r="C43" s="25">
        <v>8</v>
      </c>
      <c r="E43" s="1" t="str">
        <f>A110</f>
        <v>delta_T</v>
      </c>
      <c r="F43" s="1" t="str">
        <f>B110</f>
        <v>deg C</v>
      </c>
      <c r="G43" s="4">
        <f>C110</f>
        <v>39.99960605850948</v>
      </c>
    </row>
    <row r="44" spans="1:7" ht="15.75">
      <c r="A44" s="1" t="s">
        <v>241</v>
      </c>
      <c r="B44" s="1" t="s">
        <v>73</v>
      </c>
      <c r="C44" s="13">
        <f>C42*C23</f>
        <v>0.004287823102198879</v>
      </c>
      <c r="E44" s="1" t="str">
        <f>A100</f>
        <v>Net series/parallel circuit resistance at average resistivity</v>
      </c>
      <c r="F44" s="1" t="s">
        <v>262</v>
      </c>
      <c r="G44" s="9">
        <f>C100*1000</f>
        <v>2.5672554047196705</v>
      </c>
    </row>
    <row r="45" spans="1:7" ht="15.75">
      <c r="A45" s="1" t="s">
        <v>241</v>
      </c>
      <c r="B45" s="1" t="s">
        <v>74</v>
      </c>
      <c r="C45" s="11">
        <f>C44*15852</f>
        <v>67.97057181605663</v>
      </c>
      <c r="E45" s="1" t="str">
        <f>A101</f>
        <v>Total ohmic dissipation</v>
      </c>
      <c r="F45" s="1" t="s">
        <v>142</v>
      </c>
      <c r="G45" s="4">
        <f>C101/1000</f>
        <v>577.6324660619258</v>
      </c>
    </row>
    <row r="46" spans="1:7" ht="15.75">
      <c r="A46" s="1" t="s">
        <v>239</v>
      </c>
      <c r="B46" s="1" t="s">
        <v>242</v>
      </c>
      <c r="C46" s="40">
        <f>C44*C67</f>
        <v>3.868702458018714</v>
      </c>
      <c r="E46" s="1" t="str">
        <f>A102</f>
        <v>Volumetric nuclear heating rate</v>
      </c>
      <c r="F46" s="1" t="str">
        <f>B102</f>
        <v>watt/cc</v>
      </c>
      <c r="G46" s="12">
        <f>C102</f>
        <v>0.5</v>
      </c>
    </row>
    <row r="47" spans="1:26" ht="15.75">
      <c r="A47" s="1" t="s">
        <v>77</v>
      </c>
      <c r="B47" s="22" t="s">
        <v>90</v>
      </c>
      <c r="C47" s="3">
        <v>100</v>
      </c>
      <c r="E47" s="1" t="str">
        <f aca="true" t="shared" si="3" ref="E47:G48">A105</f>
        <v>Total metallic area</v>
      </c>
      <c r="F47" s="1" t="str">
        <f t="shared" si="3"/>
        <v>m2</v>
      </c>
      <c r="G47" s="13">
        <f t="shared" si="3"/>
        <v>0.015168465151971048</v>
      </c>
      <c r="I47" s="16"/>
      <c r="J47" s="2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29"/>
      <c r="Y47" s="29"/>
      <c r="Z47" s="30"/>
    </row>
    <row r="48" spans="1:26" ht="15.75">
      <c r="A48" s="1" t="s">
        <v>204</v>
      </c>
      <c r="B48" s="22" t="s">
        <v>90</v>
      </c>
      <c r="C48" s="3">
        <v>140</v>
      </c>
      <c r="E48" s="1" t="str">
        <f t="shared" si="3"/>
        <v>Total metallic volume</v>
      </c>
      <c r="F48" s="1" t="str">
        <f t="shared" si="3"/>
        <v>m3</v>
      </c>
      <c r="G48" s="13">
        <f t="shared" si="3"/>
        <v>0.1651096810730222</v>
      </c>
      <c r="I48" s="16"/>
      <c r="J48" s="29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9"/>
      <c r="Y48" s="29"/>
      <c r="Z48" s="30"/>
    </row>
    <row r="49" spans="1:26" ht="15.75">
      <c r="A49" s="1" t="s">
        <v>128</v>
      </c>
      <c r="B49" s="22" t="s">
        <v>90</v>
      </c>
      <c r="C49" s="7">
        <f>(C48+C47)/2</f>
        <v>120</v>
      </c>
      <c r="E49" s="1" t="str">
        <f>A107</f>
        <v>Total nuclear heating</v>
      </c>
      <c r="F49" s="1" t="s">
        <v>142</v>
      </c>
      <c r="G49" s="4">
        <f>C107/1000</f>
        <v>82.55484053651111</v>
      </c>
      <c r="I49" s="16"/>
      <c r="J49" s="29"/>
      <c r="K49" s="16"/>
      <c r="L49" s="16"/>
      <c r="M49" s="16"/>
      <c r="N49" s="16"/>
      <c r="O49" s="16"/>
      <c r="P49" s="16"/>
      <c r="Q49" s="16"/>
      <c r="R49" s="31"/>
      <c r="S49" s="31"/>
      <c r="T49" s="31"/>
      <c r="U49" s="31"/>
      <c r="V49" s="16"/>
      <c r="W49" s="16"/>
      <c r="X49" s="29"/>
      <c r="Y49" s="29"/>
      <c r="Z49" s="30"/>
    </row>
    <row r="50" spans="1:26" ht="15.75">
      <c r="A50" s="1" t="s">
        <v>129</v>
      </c>
      <c r="B50" s="1"/>
      <c r="C50" s="12">
        <v>4229.2</v>
      </c>
      <c r="E50" s="1" t="str">
        <f>A108</f>
        <v>Total heat load</v>
      </c>
      <c r="F50" s="1" t="str">
        <f>B108</f>
        <v>Watt</v>
      </c>
      <c r="G50" s="4">
        <f>C108/1000</f>
        <v>660.187306598437</v>
      </c>
      <c r="I50" s="16"/>
      <c r="J50" s="29"/>
      <c r="K50" s="16"/>
      <c r="L50" s="16"/>
      <c r="M50" s="16"/>
      <c r="N50" s="16"/>
      <c r="O50" s="16"/>
      <c r="P50" s="16"/>
      <c r="Q50" s="16"/>
      <c r="R50" s="31"/>
      <c r="S50" s="31"/>
      <c r="T50" s="31"/>
      <c r="U50" s="31"/>
      <c r="V50" s="16"/>
      <c r="W50" s="16"/>
      <c r="X50" s="29"/>
      <c r="Y50" s="29"/>
      <c r="Z50" s="30"/>
    </row>
    <row r="51" spans="1:7" ht="15.75">
      <c r="A51" s="1" t="s">
        <v>130</v>
      </c>
      <c r="B51" s="1"/>
      <c r="C51" s="12">
        <v>-3.857</v>
      </c>
      <c r="E51" s="1" t="str">
        <f>A109</f>
        <v>Heat load per hydraulic circuit</v>
      </c>
      <c r="F51" s="1" t="str">
        <f>B109</f>
        <v>Watt</v>
      </c>
      <c r="G51" s="4">
        <f>C109/1000</f>
        <v>660.187306598437</v>
      </c>
    </row>
    <row r="52" spans="1:7" ht="15.75">
      <c r="A52" s="1" t="s">
        <v>131</v>
      </c>
      <c r="B52" s="1"/>
      <c r="C52" s="12">
        <v>0.06786</v>
      </c>
      <c r="E52" s="1" t="str">
        <f>A110</f>
        <v>delta_T</v>
      </c>
      <c r="F52" s="1" t="str">
        <f>B110</f>
        <v>deg C</v>
      </c>
      <c r="G52" s="4">
        <f>C110</f>
        <v>39.99960605850948</v>
      </c>
    </row>
    <row r="53" spans="1:7" ht="15.75">
      <c r="A53" s="1" t="s">
        <v>132</v>
      </c>
      <c r="B53" s="1"/>
      <c r="C53" s="12">
        <v>-0.0003745</v>
      </c>
      <c r="E53" s="1" t="str">
        <f>A112</f>
        <v>Maximum temperature</v>
      </c>
      <c r="F53" s="1" t="str">
        <f>B112</f>
        <v>deg C</v>
      </c>
      <c r="G53" s="4">
        <f>C112</f>
        <v>139.99960605850947</v>
      </c>
    </row>
    <row r="54" spans="1:7" ht="15.75">
      <c r="A54" s="1" t="s">
        <v>133</v>
      </c>
      <c r="B54" s="1"/>
      <c r="C54" s="13">
        <v>8.1906E-07</v>
      </c>
      <c r="E54" s="1" t="str">
        <f>A118</f>
        <v>delta_T/sec (LOCW)</v>
      </c>
      <c r="F54" s="1" t="str">
        <f>B118</f>
        <v>degC/sec</v>
      </c>
      <c r="G54" s="40">
        <f>C118</f>
        <v>2.214575288669028</v>
      </c>
    </row>
    <row r="55" spans="1:7" ht="15.75">
      <c r="A55" s="1" t="s">
        <v>91</v>
      </c>
      <c r="B55" s="1" t="s">
        <v>92</v>
      </c>
      <c r="C55" s="13">
        <f>C50+C51*C49+C52*C49^2+C53*C49^3+C54*C49^4</f>
        <v>4266.248281599999</v>
      </c>
      <c r="E55" s="1" t="str">
        <f>A75</f>
        <v>Total Pressure Drop</v>
      </c>
      <c r="F55" s="1" t="str">
        <f>B75</f>
        <v>MPA</v>
      </c>
      <c r="G55" s="11">
        <f>C75</f>
        <v>0.7393488680229009</v>
      </c>
    </row>
    <row r="56" spans="1:7" ht="15.75">
      <c r="A56" s="1" t="s">
        <v>75</v>
      </c>
      <c r="B56" s="22"/>
      <c r="C56" s="12">
        <v>0.0017887</v>
      </c>
      <c r="E56" s="1" t="str">
        <f>A86</f>
        <v>Boiling Pressure at Outlet Temp</v>
      </c>
      <c r="F56" s="1" t="s">
        <v>175</v>
      </c>
      <c r="G56" s="11">
        <f>C86/1000000</f>
        <v>0.3589419984117874</v>
      </c>
    </row>
    <row r="57" spans="1:7" ht="15.75">
      <c r="A57" s="1" t="s">
        <v>76</v>
      </c>
      <c r="B57" s="22"/>
      <c r="C57" s="13">
        <v>-5.1271E-05</v>
      </c>
      <c r="E57" s="1" t="str">
        <f>A89</f>
        <v>Return pressure</v>
      </c>
      <c r="F57" s="1" t="s">
        <v>175</v>
      </c>
      <c r="G57" s="11">
        <f>C89/1000000</f>
        <v>0.7178839968235748</v>
      </c>
    </row>
    <row r="58" spans="1:7" ht="15.75">
      <c r="A58" s="1" t="s">
        <v>246</v>
      </c>
      <c r="B58" s="22"/>
      <c r="C58" s="13">
        <v>7.91121E-07</v>
      </c>
      <c r="E58" s="1" t="str">
        <f>A91</f>
        <v>Inlet pressure</v>
      </c>
      <c r="F58" s="1" t="s">
        <v>175</v>
      </c>
      <c r="G58" s="11">
        <f>C91/1000000</f>
        <v>1.4572328648464756</v>
      </c>
    </row>
    <row r="59" spans="1:7" ht="15.75">
      <c r="A59" s="1" t="s">
        <v>247</v>
      </c>
      <c r="B59" s="22"/>
      <c r="C59" s="13">
        <v>-6.752E-09</v>
      </c>
      <c r="E59" s="1" t="s">
        <v>57</v>
      </c>
      <c r="F59" s="12" t="s">
        <v>154</v>
      </c>
      <c r="G59" s="4">
        <f>C30*C32*C33*PI()*C18</f>
        <v>8.794295280264759</v>
      </c>
    </row>
    <row r="60" spans="1:7" ht="15.75">
      <c r="A60" s="1" t="s">
        <v>248</v>
      </c>
      <c r="B60" s="22"/>
      <c r="C60" s="13">
        <v>3.1597E-11</v>
      </c>
      <c r="E60" s="1" t="s">
        <v>58</v>
      </c>
      <c r="F60" s="12" t="s">
        <v>178</v>
      </c>
      <c r="G60" s="11">
        <f>C30*C32*C33*PI()*C18^2/4</f>
        <v>0.0659572146019857</v>
      </c>
    </row>
    <row r="61" spans="1:3" ht="15.75">
      <c r="A61" s="1" t="s">
        <v>253</v>
      </c>
      <c r="B61" s="22"/>
      <c r="C61" s="13">
        <v>-7.5437E-14</v>
      </c>
    </row>
    <row r="62" spans="1:3" ht="15.75">
      <c r="A62" s="1" t="s">
        <v>254</v>
      </c>
      <c r="B62" s="22"/>
      <c r="C62" s="13">
        <v>7.1718E-17</v>
      </c>
    </row>
    <row r="63" spans="1:3" ht="15.75">
      <c r="A63" s="1" t="s">
        <v>255</v>
      </c>
      <c r="B63" s="1" t="s">
        <v>256</v>
      </c>
      <c r="C63" s="13">
        <f>C56+C57*C49+C58*C49^2+C59*C49^3+C60*C49^4+C61*C49^5+C62*C49^6</f>
        <v>0.00024985516211199944</v>
      </c>
    </row>
    <row r="64" spans="1:3" ht="15.75">
      <c r="A64" s="1" t="s">
        <v>257</v>
      </c>
      <c r="B64" s="1"/>
      <c r="C64" s="12">
        <v>1005.4</v>
      </c>
    </row>
    <row r="65" spans="1:3" ht="15.75">
      <c r="A65" s="1" t="s">
        <v>258</v>
      </c>
      <c r="B65" s="1"/>
      <c r="C65" s="12">
        <v>-0.539</v>
      </c>
    </row>
    <row r="66" spans="1:3" ht="15.75">
      <c r="A66" s="1" t="s">
        <v>259</v>
      </c>
      <c r="B66" s="1"/>
      <c r="C66" s="12">
        <v>-0.0026713</v>
      </c>
    </row>
    <row r="67" spans="1:3" ht="15.75">
      <c r="A67" s="1" t="s">
        <v>83</v>
      </c>
      <c r="B67" s="14" t="s">
        <v>84</v>
      </c>
      <c r="C67" s="13">
        <f>C64+C65*C49+C66*C49^2</f>
        <v>902.25328</v>
      </c>
    </row>
    <row r="68" spans="1:3" ht="15.75">
      <c r="A68" s="1" t="s">
        <v>85</v>
      </c>
      <c r="B68" s="1" t="s">
        <v>86</v>
      </c>
      <c r="C68" s="13">
        <f>C63/C67</f>
        <v>2.769235287368525E-07</v>
      </c>
    </row>
    <row r="69" spans="1:3" ht="15.75">
      <c r="A69" s="1" t="s">
        <v>104</v>
      </c>
      <c r="B69" s="1"/>
      <c r="C69" s="13">
        <f>C42*C19*2.54/100/C68</f>
        <v>657152.0495749632</v>
      </c>
    </row>
    <row r="70" spans="1:3" ht="15.75">
      <c r="A70" s="1" t="s">
        <v>105</v>
      </c>
      <c r="B70" s="1"/>
      <c r="C70" s="13">
        <f>0.3164/C69^0.25</f>
        <v>0.01111271069339741</v>
      </c>
    </row>
    <row r="71" spans="1:3" ht="15.75">
      <c r="A71" s="1" t="s">
        <v>176</v>
      </c>
      <c r="B71" s="1" t="s">
        <v>106</v>
      </c>
      <c r="C71" s="13">
        <f>C70*C42^2*1000*C30/2/C18*C32</f>
        <v>635927.5088177539</v>
      </c>
    </row>
    <row r="72" spans="1:3" ht="15.75">
      <c r="A72" s="1" t="s">
        <v>176</v>
      </c>
      <c r="B72" s="1" t="s">
        <v>107</v>
      </c>
      <c r="C72" s="7">
        <f>C71*0.000145037738</f>
        <v>92.23348741090207</v>
      </c>
    </row>
    <row r="73" spans="1:3" ht="15.75">
      <c r="A73" s="1" t="s">
        <v>88</v>
      </c>
      <c r="B73" s="1" t="s">
        <v>107</v>
      </c>
      <c r="C73" s="3">
        <v>15</v>
      </c>
    </row>
    <row r="74" spans="1:3" ht="15.75">
      <c r="A74" s="1" t="s">
        <v>89</v>
      </c>
      <c r="B74" s="1" t="s">
        <v>107</v>
      </c>
      <c r="C74" s="7">
        <f>C72+C73</f>
        <v>107.23348741090207</v>
      </c>
    </row>
    <row r="75" spans="1:3" ht="15.75">
      <c r="A75" s="1" t="s">
        <v>89</v>
      </c>
      <c r="B75" s="1" t="s">
        <v>175</v>
      </c>
      <c r="C75" s="42">
        <f>C74/0.000145037738/1000000</f>
        <v>0.7393488680229009</v>
      </c>
    </row>
    <row r="76" spans="1:3" ht="15.75">
      <c r="A76" s="1" t="s">
        <v>170</v>
      </c>
      <c r="C76" s="24">
        <v>8.07131</v>
      </c>
    </row>
    <row r="77" spans="1:3" ht="15.75">
      <c r="A77" s="1" t="s">
        <v>171</v>
      </c>
      <c r="B77" s="1"/>
      <c r="C77" s="18">
        <v>1730.63</v>
      </c>
    </row>
    <row r="78" spans="1:3" ht="15.75">
      <c r="A78" s="1" t="s">
        <v>172</v>
      </c>
      <c r="B78" s="1"/>
      <c r="C78" s="18">
        <v>233.426</v>
      </c>
    </row>
    <row r="79" spans="1:3" ht="15.75">
      <c r="A79" s="1" t="s">
        <v>173</v>
      </c>
      <c r="B79" s="1"/>
      <c r="C79" s="18">
        <v>8.14019</v>
      </c>
    </row>
    <row r="80" spans="1:3" ht="15.75">
      <c r="A80" s="1" t="s">
        <v>174</v>
      </c>
      <c r="B80" s="1"/>
      <c r="C80" s="18">
        <v>1810.94</v>
      </c>
    </row>
    <row r="81" spans="1:3" ht="15.75">
      <c r="A81" s="1" t="s">
        <v>2</v>
      </c>
      <c r="B81" s="1"/>
      <c r="C81" s="18">
        <v>244.485</v>
      </c>
    </row>
    <row r="82" spans="1:3" ht="15.75">
      <c r="A82" s="1" t="s">
        <v>5</v>
      </c>
      <c r="B82" s="1"/>
      <c r="C82" s="18">
        <f>IF(C$48&lt;=100,C76,C79)</f>
        <v>8.14019</v>
      </c>
    </row>
    <row r="83" spans="1:3" ht="15.75">
      <c r="A83" s="1" t="s">
        <v>6</v>
      </c>
      <c r="B83" s="1"/>
      <c r="C83" s="18">
        <f>IF(C$48&lt;=100,C77,C80)</f>
        <v>1810.94</v>
      </c>
    </row>
    <row r="84" spans="1:3" ht="15.75">
      <c r="A84" s="1" t="s">
        <v>7</v>
      </c>
      <c r="B84" s="1"/>
      <c r="C84" s="18">
        <f>IF(C$48&lt;=100,C78,C81)</f>
        <v>244.485</v>
      </c>
    </row>
    <row r="85" spans="1:3" ht="15.75">
      <c r="A85" s="1" t="s">
        <v>8</v>
      </c>
      <c r="B85" s="1" t="s">
        <v>107</v>
      </c>
      <c r="C85" s="21">
        <f>10^(C82-C83/(C84+C48))*14.695/760</f>
        <v>52.060135522845236</v>
      </c>
    </row>
    <row r="86" spans="1:3" ht="15.75">
      <c r="A86" s="1" t="s">
        <v>8</v>
      </c>
      <c r="B86" s="1" t="s">
        <v>106</v>
      </c>
      <c r="C86" s="37">
        <f>C85/0.000145037738</f>
        <v>358941.99841178744</v>
      </c>
    </row>
    <row r="87" spans="1:3" ht="15.75">
      <c r="A87" s="1" t="s">
        <v>9</v>
      </c>
      <c r="B87" s="1"/>
      <c r="C87" s="25">
        <v>2</v>
      </c>
    </row>
    <row r="88" spans="1:3" ht="15.75">
      <c r="A88" s="1" t="s">
        <v>263</v>
      </c>
      <c r="B88" s="1" t="s">
        <v>107</v>
      </c>
      <c r="C88" s="21">
        <f>C87*C85</f>
        <v>104.12027104569047</v>
      </c>
    </row>
    <row r="89" spans="1:3" ht="15.75">
      <c r="A89" s="1" t="s">
        <v>263</v>
      </c>
      <c r="B89" s="1" t="s">
        <v>106</v>
      </c>
      <c r="C89" s="37">
        <f>C88/0.000145037738</f>
        <v>717883.9968235749</v>
      </c>
    </row>
    <row r="90" spans="1:4" ht="15.75">
      <c r="A90" s="1" t="s">
        <v>205</v>
      </c>
      <c r="B90" s="1" t="s">
        <v>107</v>
      </c>
      <c r="C90" s="26">
        <f>C74+C88</f>
        <v>211.35375845659254</v>
      </c>
      <c r="D90" s="2" t="s">
        <v>10</v>
      </c>
    </row>
    <row r="91" spans="1:3" ht="15.75">
      <c r="A91" s="1" t="s">
        <v>205</v>
      </c>
      <c r="B91" s="1" t="s">
        <v>106</v>
      </c>
      <c r="C91" s="37">
        <f>C90/0.000145037738</f>
        <v>1457232.8648464757</v>
      </c>
    </row>
    <row r="92" spans="1:3" ht="15.75">
      <c r="A92" s="1" t="s">
        <v>64</v>
      </c>
      <c r="B92" s="1" t="s">
        <v>107</v>
      </c>
      <c r="C92" s="25">
        <v>1000</v>
      </c>
    </row>
    <row r="93" spans="1:3" ht="15.75">
      <c r="A93" s="15" t="s">
        <v>183</v>
      </c>
      <c r="B93" s="15" t="s">
        <v>118</v>
      </c>
      <c r="C93" s="13">
        <f>C44*C55*C67</f>
        <v>16504.84521354403</v>
      </c>
    </row>
    <row r="94" spans="1:3" ht="15.75">
      <c r="A94" s="15" t="s">
        <v>143</v>
      </c>
      <c r="B94" s="15" t="s">
        <v>144</v>
      </c>
      <c r="C94" s="13">
        <v>1.7241E-08</v>
      </c>
    </row>
    <row r="95" spans="1:3" ht="15.75">
      <c r="A95" s="15" t="s">
        <v>145</v>
      </c>
      <c r="B95" s="1"/>
      <c r="C95" s="28">
        <v>1</v>
      </c>
    </row>
    <row r="96" spans="1:3" ht="15.75">
      <c r="A96" s="15" t="s">
        <v>152</v>
      </c>
      <c r="B96" s="1" t="s">
        <v>144</v>
      </c>
      <c r="C96" s="13">
        <f>C94/C95</f>
        <v>1.7241E-08</v>
      </c>
    </row>
    <row r="97" spans="1:3" ht="15.75">
      <c r="A97" s="1" t="s">
        <v>23</v>
      </c>
      <c r="B97" s="1" t="s">
        <v>151</v>
      </c>
      <c r="C97" s="13">
        <f>C96*C30/C22*C34/C35</f>
        <v>0.0018207485139855818</v>
      </c>
    </row>
    <row r="98" spans="1:3" ht="15.75">
      <c r="A98" s="15" t="s">
        <v>148</v>
      </c>
      <c r="B98" s="1" t="s">
        <v>146</v>
      </c>
      <c r="C98" s="20">
        <v>0.0041</v>
      </c>
    </row>
    <row r="99" spans="1:3" ht="15.75">
      <c r="A99" s="15" t="s">
        <v>147</v>
      </c>
      <c r="B99" s="1" t="s">
        <v>144</v>
      </c>
      <c r="C99" s="13">
        <f>C96*(1+C98*(C49-20))</f>
        <v>2.430981E-08</v>
      </c>
    </row>
    <row r="100" spans="1:3" ht="15.75">
      <c r="A100" s="1" t="s">
        <v>33</v>
      </c>
      <c r="B100" s="1" t="s">
        <v>151</v>
      </c>
      <c r="C100" s="13">
        <f>C97*C99/C96</f>
        <v>0.0025672554047196706</v>
      </c>
    </row>
    <row r="101" spans="1:3" ht="15.75">
      <c r="A101" s="15" t="s">
        <v>100</v>
      </c>
      <c r="B101" s="1" t="s">
        <v>149</v>
      </c>
      <c r="C101" s="13">
        <f>C39^2*C100</f>
        <v>577632.4660619259</v>
      </c>
    </row>
    <row r="102" spans="1:3" ht="15.75">
      <c r="A102" s="15" t="s">
        <v>101</v>
      </c>
      <c r="B102" s="1" t="s">
        <v>0</v>
      </c>
      <c r="C102" s="27">
        <v>0.5</v>
      </c>
    </row>
    <row r="103" spans="1:3" ht="15.75">
      <c r="A103" s="15" t="s">
        <v>177</v>
      </c>
      <c r="B103" s="1" t="s">
        <v>154</v>
      </c>
      <c r="C103" s="8">
        <f>C22+C15</f>
        <v>0.0012102985697954672</v>
      </c>
    </row>
    <row r="104" spans="1:3" ht="15.75">
      <c r="A104" s="15" t="s">
        <v>202</v>
      </c>
      <c r="B104" s="1" t="s">
        <v>154</v>
      </c>
      <c r="C104" s="8">
        <f>C4*C1*C2</f>
        <v>0.007906673733198245</v>
      </c>
    </row>
    <row r="105" spans="1:3" ht="15.75">
      <c r="A105" s="15" t="s">
        <v>203</v>
      </c>
      <c r="B105" s="1" t="s">
        <v>154</v>
      </c>
      <c r="C105" s="8">
        <f>C7*C103+C104</f>
        <v>0.015168465151971048</v>
      </c>
    </row>
    <row r="106" spans="1:3" ht="15.75">
      <c r="A106" s="15" t="s">
        <v>179</v>
      </c>
      <c r="B106" s="1" t="s">
        <v>178</v>
      </c>
      <c r="C106" s="8">
        <f>C105*C24</f>
        <v>0.1651096810730222</v>
      </c>
    </row>
    <row r="107" spans="1:3" ht="15.75">
      <c r="A107" s="15" t="s">
        <v>55</v>
      </c>
      <c r="B107" s="1" t="s">
        <v>149</v>
      </c>
      <c r="C107" s="13">
        <f>C106*100^3*C102</f>
        <v>82554.84053651111</v>
      </c>
    </row>
    <row r="108" spans="1:3" ht="15.75">
      <c r="A108" s="15" t="s">
        <v>1</v>
      </c>
      <c r="B108" s="1" t="s">
        <v>149</v>
      </c>
      <c r="C108" s="13">
        <f>C101+C107</f>
        <v>660187.306598437</v>
      </c>
    </row>
    <row r="109" spans="1:3" ht="15.75">
      <c r="A109" s="15" t="s">
        <v>237</v>
      </c>
      <c r="B109" s="1" t="s">
        <v>149</v>
      </c>
      <c r="C109" s="13">
        <f>C108/C33</f>
        <v>660187.306598437</v>
      </c>
    </row>
    <row r="110" spans="1:3" ht="15.75">
      <c r="A110" s="15" t="s">
        <v>155</v>
      </c>
      <c r="B110" s="1" t="s">
        <v>90</v>
      </c>
      <c r="C110" s="26">
        <f>C109/C93</f>
        <v>39.99960605850948</v>
      </c>
    </row>
    <row r="111" spans="1:3" ht="15.75">
      <c r="A111" s="15" t="s">
        <v>65</v>
      </c>
      <c r="B111" s="1" t="s">
        <v>90</v>
      </c>
      <c r="C111" s="21">
        <f>C48-C47</f>
        <v>40</v>
      </c>
    </row>
    <row r="112" spans="1:3" ht="15.75">
      <c r="A112" s="15" t="s">
        <v>249</v>
      </c>
      <c r="B112" s="1" t="s">
        <v>90</v>
      </c>
      <c r="C112" s="21">
        <f>C110+C47</f>
        <v>139.99960605850947</v>
      </c>
    </row>
    <row r="113" spans="1:3" ht="15.75">
      <c r="A113" s="15" t="s">
        <v>186</v>
      </c>
      <c r="B113" s="15" t="s">
        <v>146</v>
      </c>
      <c r="C113" s="12">
        <v>0.105</v>
      </c>
    </row>
    <row r="114" spans="1:3" ht="15.75">
      <c r="A114" s="15" t="s">
        <v>185</v>
      </c>
      <c r="B114" s="15" t="s">
        <v>158</v>
      </c>
      <c r="C114" s="12">
        <v>393.5</v>
      </c>
    </row>
    <row r="115" spans="1:3" ht="15.75">
      <c r="A115" s="15" t="s">
        <v>160</v>
      </c>
      <c r="B115" s="15" t="s">
        <v>158</v>
      </c>
      <c r="C115" s="12">
        <f>393.5+C113*(C49-20)</f>
        <v>404</v>
      </c>
    </row>
    <row r="116" spans="1:3" ht="15.75">
      <c r="A116" s="15" t="s">
        <v>159</v>
      </c>
      <c r="B116" s="15" t="s">
        <v>84</v>
      </c>
      <c r="C116" s="12">
        <v>8950</v>
      </c>
    </row>
    <row r="117" spans="1:3" ht="15.75">
      <c r="A117" s="15" t="s">
        <v>134</v>
      </c>
      <c r="B117" s="15" t="s">
        <v>135</v>
      </c>
      <c r="C117" s="13">
        <f>C115*C116*C22*C30*C28</f>
        <v>298110.12069732486</v>
      </c>
    </row>
    <row r="118" spans="1:3" ht="15.75">
      <c r="A118" s="15" t="s">
        <v>136</v>
      </c>
      <c r="B118" s="15" t="s">
        <v>137</v>
      </c>
      <c r="C118" s="11">
        <f>C108/C117</f>
        <v>2.214575288669028</v>
      </c>
    </row>
    <row r="138" ht="15.75">
      <c r="D138" s="32"/>
    </row>
    <row r="144" ht="15.75">
      <c r="D144" s="3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workbookViewId="0" topLeftCell="A55">
      <selection activeCell="I48" sqref="I48"/>
    </sheetView>
  </sheetViews>
  <sheetFormatPr defaultColWidth="11.00390625" defaultRowHeight="12.75"/>
  <cols>
    <col min="1" max="1" width="56.75390625" style="2" customWidth="1"/>
    <col min="2" max="2" width="13.125" style="2" customWidth="1"/>
    <col min="3" max="3" width="12.00390625" style="16" customWidth="1"/>
    <col min="4" max="4" width="10.75390625" style="2" customWidth="1"/>
    <col min="5" max="5" width="55.75390625" style="2" customWidth="1"/>
    <col min="6" max="6" width="14.125" style="2" customWidth="1"/>
    <col min="7" max="7" width="10.75390625" style="2" customWidth="1"/>
    <col min="8" max="8" width="8.375" style="2" customWidth="1"/>
    <col min="9" max="9" width="6.75390625" style="2" customWidth="1"/>
    <col min="10" max="10" width="7.125" style="2" customWidth="1"/>
    <col min="11" max="11" width="7.875" style="2" customWidth="1"/>
    <col min="12" max="15" width="7.125" style="2" customWidth="1"/>
    <col min="16" max="16" width="9.00390625" style="2" customWidth="1"/>
    <col min="17" max="17" width="9.75390625" style="2" customWidth="1"/>
    <col min="18" max="18" width="8.125" style="2" customWidth="1"/>
    <col min="19" max="19" width="9.25390625" style="2" customWidth="1"/>
    <col min="20" max="20" width="7.75390625" style="2" customWidth="1"/>
    <col min="21" max="21" width="9.75390625" style="2" customWidth="1"/>
    <col min="22" max="22" width="7.25390625" style="2" customWidth="1"/>
    <col min="23" max="24" width="10.875" style="2" customWidth="1"/>
    <col min="25" max="16384" width="10.75390625" style="2" customWidth="1"/>
  </cols>
  <sheetData>
    <row r="1" ht="15.75">
      <c r="C1" s="2"/>
    </row>
    <row r="2" spans="1:7" ht="15.75">
      <c r="A2" s="1" t="s">
        <v>78</v>
      </c>
      <c r="B2" s="1" t="s">
        <v>67</v>
      </c>
      <c r="C2" s="38">
        <v>0.05</v>
      </c>
      <c r="E2" s="1" t="s">
        <v>78</v>
      </c>
      <c r="F2" s="1" t="s">
        <v>67</v>
      </c>
      <c r="G2" s="18">
        <f>C2</f>
        <v>0.05</v>
      </c>
    </row>
    <row r="3" spans="1:7" ht="15.75">
      <c r="A3" s="1" t="s">
        <v>79</v>
      </c>
      <c r="B3" s="1" t="s">
        <v>67</v>
      </c>
      <c r="C3" s="38">
        <v>0.1</v>
      </c>
      <c r="E3" s="1" t="s">
        <v>79</v>
      </c>
      <c r="F3" s="1" t="s">
        <v>67</v>
      </c>
      <c r="G3" s="18">
        <f>C3</f>
        <v>0.1</v>
      </c>
    </row>
    <row r="4" spans="1:7" ht="15.75">
      <c r="A4" s="1" t="s">
        <v>48</v>
      </c>
      <c r="B4" s="6"/>
      <c r="C4" s="21">
        <f>C3/C2</f>
        <v>2</v>
      </c>
      <c r="E4" s="1" t="s">
        <v>80</v>
      </c>
      <c r="F4" s="6" t="s">
        <v>67</v>
      </c>
      <c r="G4" s="18">
        <f>C5</f>
        <v>0.0175</v>
      </c>
    </row>
    <row r="5" spans="1:7" ht="15.75">
      <c r="A5" s="1" t="s">
        <v>80</v>
      </c>
      <c r="B5" s="6" t="s">
        <v>67</v>
      </c>
      <c r="C5" s="38">
        <v>0.0175</v>
      </c>
      <c r="E5" s="1" t="str">
        <f>A97</f>
        <v>Max length of single conductor section</v>
      </c>
      <c r="F5" s="1" t="str">
        <f>B97</f>
        <v>m</v>
      </c>
      <c r="G5" s="21">
        <f>C97</f>
        <v>5.868920332867766</v>
      </c>
    </row>
    <row r="6" spans="1:7" ht="15.75">
      <c r="A6" s="1" t="s">
        <v>80</v>
      </c>
      <c r="B6" s="6" t="s">
        <v>69</v>
      </c>
      <c r="C6" s="18">
        <f>C5*100/2.54</f>
        <v>0.688976377952756</v>
      </c>
      <c r="E6" s="1" t="str">
        <f>A16</f>
        <v>Current</v>
      </c>
      <c r="F6" s="1" t="str">
        <f>B16</f>
        <v>Amp rms</v>
      </c>
      <c r="G6" s="7">
        <f>C16</f>
        <v>15000</v>
      </c>
    </row>
    <row r="7" spans="1:7" ht="15.75">
      <c r="A7" s="1" t="s">
        <v>153</v>
      </c>
      <c r="B7" s="1" t="s">
        <v>154</v>
      </c>
      <c r="C7" s="18">
        <f>C2*C3-PI()*C5^2/4</f>
        <v>0.004759471812459532</v>
      </c>
      <c r="E7" s="1" t="str">
        <f>A13</f>
        <v>Avg conductor length per pole</v>
      </c>
      <c r="F7" s="1" t="str">
        <f>B13</f>
        <v>m</v>
      </c>
      <c r="G7" s="7">
        <f>C13</f>
        <v>30.333333333333332</v>
      </c>
    </row>
    <row r="8" spans="1:7" ht="15.75">
      <c r="A8" s="15" t="s">
        <v>194</v>
      </c>
      <c r="B8" s="1"/>
      <c r="C8" s="3">
        <v>2</v>
      </c>
      <c r="E8" s="1" t="str">
        <f>A8</f>
        <v>#Conductor in parallel electrically and hydraulically per pole</v>
      </c>
      <c r="F8" s="1"/>
      <c r="G8" s="7">
        <f>C8</f>
        <v>2</v>
      </c>
    </row>
    <row r="9" spans="1:7" ht="15.75">
      <c r="A9" s="1" t="s">
        <v>11</v>
      </c>
      <c r="B9" s="1"/>
      <c r="C9" s="3">
        <v>2</v>
      </c>
      <c r="E9" s="1" t="str">
        <f>A74</f>
        <v>Resistance per pole at 20C</v>
      </c>
      <c r="F9" s="1" t="s">
        <v>262</v>
      </c>
      <c r="G9" s="33">
        <f>C74*1000</f>
        <v>0.05494065524570711</v>
      </c>
    </row>
    <row r="10" spans="1:7" ht="15.75">
      <c r="A10" s="1" t="s">
        <v>13</v>
      </c>
      <c r="B10" s="1" t="s">
        <v>67</v>
      </c>
      <c r="C10" s="43">
        <v>657</v>
      </c>
      <c r="E10" s="1" t="str">
        <f>A18</f>
        <v>Flow velocity</v>
      </c>
      <c r="F10" s="1" t="str">
        <f>B18</f>
        <v>m/s</v>
      </c>
      <c r="G10" s="21">
        <f>C18</f>
        <v>2.7800854959348955</v>
      </c>
    </row>
    <row r="11" spans="1:7" ht="15.75">
      <c r="A11" s="1" t="s">
        <v>187</v>
      </c>
      <c r="B11" s="1"/>
      <c r="C11" s="43">
        <v>27</v>
      </c>
      <c r="E11" s="1" t="str">
        <f>A21</f>
        <v>Flow per conductor</v>
      </c>
      <c r="F11" s="1" t="str">
        <f>B21</f>
        <v>m3/s</v>
      </c>
      <c r="G11" s="13">
        <f>C21</f>
        <v>0.0006686889255447651</v>
      </c>
    </row>
    <row r="12" spans="1:7" ht="15.75">
      <c r="A12" s="1" t="s">
        <v>188</v>
      </c>
      <c r="B12" s="1" t="s">
        <v>67</v>
      </c>
      <c r="C12" s="43">
        <v>6</v>
      </c>
      <c r="E12" s="1" t="str">
        <f>A23</f>
        <v>Mass flow per conductor</v>
      </c>
      <c r="F12" s="1" t="str">
        <f>B23</f>
        <v>kg/s</v>
      </c>
      <c r="G12" s="11">
        <f>C23</f>
        <v>0.6608218615318294</v>
      </c>
    </row>
    <row r="13" spans="1:7" ht="15.75">
      <c r="A13" s="1" t="s">
        <v>189</v>
      </c>
      <c r="B13" s="1" t="s">
        <v>67</v>
      </c>
      <c r="C13" s="7">
        <f>C10/C11+C12</f>
        <v>30.333333333333332</v>
      </c>
      <c r="E13" s="1" t="str">
        <f>A9</f>
        <v>#Poles in series hydraulically</v>
      </c>
      <c r="F13" s="1"/>
      <c r="G13" s="7">
        <f>C9</f>
        <v>2</v>
      </c>
    </row>
    <row r="14" spans="1:7" ht="15.75">
      <c r="A14" s="1" t="s">
        <v>81</v>
      </c>
      <c r="B14" s="6"/>
      <c r="C14" s="39">
        <f>C5/MIN(C2,C3)</f>
        <v>0.35000000000000003</v>
      </c>
      <c r="E14" s="1" t="str">
        <f>A48</f>
        <v>Hydraulic path delta_P</v>
      </c>
      <c r="F14" s="1" t="s">
        <v>175</v>
      </c>
      <c r="G14" s="42">
        <f>C48/1000000</f>
        <v>0.24741393336659423</v>
      </c>
    </row>
    <row r="15" spans="1:7" ht="15.75">
      <c r="A15" s="1" t="s">
        <v>111</v>
      </c>
      <c r="B15" s="6"/>
      <c r="C15" s="20">
        <f>15/40</f>
        <v>0.375</v>
      </c>
      <c r="E15" s="1" t="str">
        <f>A65</f>
        <v>Return pressure</v>
      </c>
      <c r="F15" s="1" t="s">
        <v>175</v>
      </c>
      <c r="G15" s="42">
        <f>C65/1000000</f>
        <v>0.024609690409299414</v>
      </c>
    </row>
    <row r="16" spans="1:7" ht="15.75">
      <c r="A16" s="1" t="s">
        <v>112</v>
      </c>
      <c r="B16" s="6" t="s">
        <v>150</v>
      </c>
      <c r="C16" s="7">
        <f>Coil!C40</f>
        <v>15000</v>
      </c>
      <c r="E16" s="1" t="str">
        <f>A67</f>
        <v>Inlet pressure</v>
      </c>
      <c r="F16" s="1" t="s">
        <v>175</v>
      </c>
      <c r="G16" s="42">
        <f>C67/1000000</f>
        <v>0.3754449829810406</v>
      </c>
    </row>
    <row r="17" spans="1:7" ht="15.75">
      <c r="A17" s="1" t="s">
        <v>70</v>
      </c>
      <c r="B17" s="1" t="s">
        <v>71</v>
      </c>
      <c r="C17" s="5">
        <v>9.12101540661055</v>
      </c>
      <c r="E17" s="1" t="str">
        <f>A24</f>
        <v>Water Inlet Temperature</v>
      </c>
      <c r="F17" s="1" t="str">
        <f>B24</f>
        <v>deg C</v>
      </c>
      <c r="G17" s="41">
        <f>C24</f>
        <v>45</v>
      </c>
    </row>
    <row r="18" spans="1:7" ht="15.75">
      <c r="A18" s="1" t="s">
        <v>70</v>
      </c>
      <c r="B18" s="1" t="s">
        <v>72</v>
      </c>
      <c r="C18" s="26">
        <f>C17*12*2.54/100</f>
        <v>2.7800854959348955</v>
      </c>
      <c r="E18" s="1" t="str">
        <f>A84</f>
        <v>Water delta_T</v>
      </c>
      <c r="F18" s="1" t="str">
        <f>B84</f>
        <v>deg C</v>
      </c>
      <c r="G18" s="7">
        <f>C84</f>
        <v>4.999988741814631</v>
      </c>
    </row>
    <row r="19" spans="1:7" ht="15.75">
      <c r="A19" s="1" t="s">
        <v>66</v>
      </c>
      <c r="B19" s="1" t="s">
        <v>72</v>
      </c>
      <c r="C19" s="25">
        <v>4</v>
      </c>
      <c r="E19" s="1" t="str">
        <f>A77</f>
        <v>Resistance per pole at average temperature</v>
      </c>
      <c r="F19" s="1" t="s">
        <v>262</v>
      </c>
      <c r="G19" s="33">
        <f>C77*1000</f>
        <v>0.06113521412466058</v>
      </c>
    </row>
    <row r="20" spans="1:7" ht="15.75">
      <c r="A20" s="1" t="s">
        <v>184</v>
      </c>
      <c r="B20" s="1" t="s">
        <v>154</v>
      </c>
      <c r="C20" s="37">
        <f>PI()*C5^2/4</f>
        <v>0.00024052818754046856</v>
      </c>
      <c r="E20" s="1" t="str">
        <f>A78</f>
        <v>Ohmic dissipation per pole</v>
      </c>
      <c r="F20" s="1" t="s">
        <v>142</v>
      </c>
      <c r="G20" s="7">
        <f>C78/1000</f>
        <v>13.75542317804863</v>
      </c>
    </row>
    <row r="21" spans="1:7" ht="15.75">
      <c r="A21" s="1" t="s">
        <v>192</v>
      </c>
      <c r="B21" s="1" t="s">
        <v>73</v>
      </c>
      <c r="C21" s="13">
        <f>C18*C20</f>
        <v>0.0006686889255447651</v>
      </c>
      <c r="E21" s="1" t="str">
        <f>A79</f>
        <v>Ohmic dissipation per unit length</v>
      </c>
      <c r="F21" s="1" t="str">
        <f>B79</f>
        <v>kW/m</v>
      </c>
      <c r="G21" s="42">
        <f>C79</f>
        <v>0.4534754893862186</v>
      </c>
    </row>
    <row r="22" spans="1:7" ht="15.75">
      <c r="A22" s="1" t="s">
        <v>192</v>
      </c>
      <c r="B22" s="1" t="s">
        <v>74</v>
      </c>
      <c r="C22" s="11">
        <f>C21*15852</f>
        <v>10.600056847735617</v>
      </c>
      <c r="E22" s="1" t="str">
        <f>A82</f>
        <v>Total # bus bar poles</v>
      </c>
      <c r="F22" s="1"/>
      <c r="G22" s="7">
        <f>C82</f>
        <v>2</v>
      </c>
    </row>
    <row r="23" spans="1:7" ht="15.75">
      <c r="A23" s="1" t="s">
        <v>193</v>
      </c>
      <c r="B23" s="1" t="s">
        <v>242</v>
      </c>
      <c r="C23" s="11">
        <f>C21*C44</f>
        <v>0.6608218615318294</v>
      </c>
      <c r="E23" s="1" t="str">
        <f>A83</f>
        <v>Total ohmic dissipation, fraction of total coil + bus bar</v>
      </c>
      <c r="F23" s="1"/>
      <c r="G23" s="42">
        <f>C83</f>
        <v>0.04546170434598344</v>
      </c>
    </row>
    <row r="24" spans="1:7" ht="15.75">
      <c r="A24" s="1" t="s">
        <v>77</v>
      </c>
      <c r="B24" s="22" t="s">
        <v>90</v>
      </c>
      <c r="C24" s="3">
        <v>45</v>
      </c>
      <c r="E24" s="1" t="str">
        <f aca="true" t="shared" si="0" ref="E24:G27">A92</f>
        <v>Total flow</v>
      </c>
      <c r="F24" s="1" t="str">
        <f t="shared" si="0"/>
        <v>m3/s</v>
      </c>
      <c r="G24" s="13">
        <f t="shared" si="0"/>
        <v>0.0026747557021790606</v>
      </c>
    </row>
    <row r="25" spans="1:7" ht="15.75">
      <c r="A25" s="1" t="s">
        <v>204</v>
      </c>
      <c r="B25" s="22" t="s">
        <v>90</v>
      </c>
      <c r="C25" s="3">
        <v>50</v>
      </c>
      <c r="E25" s="1" t="str">
        <f t="shared" si="0"/>
        <v>Total mass flow</v>
      </c>
      <c r="F25" s="1" t="str">
        <f t="shared" si="0"/>
        <v>kg/s</v>
      </c>
      <c r="G25" s="40">
        <f t="shared" si="0"/>
        <v>2.6432874461273177</v>
      </c>
    </row>
    <row r="26" spans="1:7" ht="15.75">
      <c r="A26" s="1" t="s">
        <v>128</v>
      </c>
      <c r="B26" s="22" t="s">
        <v>90</v>
      </c>
      <c r="C26" s="7">
        <f>(C25+C24)/2</f>
        <v>47.5</v>
      </c>
      <c r="E26" s="1" t="str">
        <f t="shared" si="0"/>
        <v>Total bus bar resistance at 20C</v>
      </c>
      <c r="F26" s="1" t="str">
        <f t="shared" si="0"/>
        <v>ohm</v>
      </c>
      <c r="G26" s="13">
        <f t="shared" si="0"/>
        <v>0.00010988131049141422</v>
      </c>
    </row>
    <row r="27" spans="1:7" ht="15.75">
      <c r="A27" s="1" t="s">
        <v>129</v>
      </c>
      <c r="B27" s="1"/>
      <c r="C27" s="12">
        <v>4229.2</v>
      </c>
      <c r="E27" s="1" t="str">
        <f t="shared" si="0"/>
        <v>Total bus bar resistance at average temperature</v>
      </c>
      <c r="F27" s="1" t="str">
        <f t="shared" si="0"/>
        <v>ohm</v>
      </c>
      <c r="G27" s="13">
        <f t="shared" si="0"/>
        <v>0.00012227042824932116</v>
      </c>
    </row>
    <row r="28" spans="1:7" ht="15.75">
      <c r="A28" s="1" t="s">
        <v>130</v>
      </c>
      <c r="B28" s="1"/>
      <c r="C28" s="12">
        <v>-3.857</v>
      </c>
      <c r="E28" s="1" t="s">
        <v>25</v>
      </c>
      <c r="F28" s="1" t="s">
        <v>151</v>
      </c>
      <c r="G28" s="13">
        <f>C80*Coil!C97</f>
        <v>0.0018207485139855818</v>
      </c>
    </row>
    <row r="29" spans="1:7" ht="15.75">
      <c r="A29" s="1" t="s">
        <v>131</v>
      </c>
      <c r="B29" s="1"/>
      <c r="C29" s="12">
        <v>0.06786</v>
      </c>
      <c r="E29" s="1" t="s">
        <v>26</v>
      </c>
      <c r="F29" s="1" t="s">
        <v>151</v>
      </c>
      <c r="G29" s="13">
        <f>G28*Coil!C99/Coil!C96</f>
        <v>0.0025672554047196706</v>
      </c>
    </row>
    <row r="30" spans="1:7" ht="15.75">
      <c r="A30" s="1" t="s">
        <v>132</v>
      </c>
      <c r="B30" s="1"/>
      <c r="C30" s="12">
        <v>-0.0003745</v>
      </c>
      <c r="E30" s="1" t="s">
        <v>209</v>
      </c>
      <c r="F30" s="1" t="s">
        <v>151</v>
      </c>
      <c r="G30" s="13">
        <f>G26+G28</f>
        <v>0.0019306298244769961</v>
      </c>
    </row>
    <row r="31" spans="1:7" ht="15.75">
      <c r="A31" s="1" t="s">
        <v>133</v>
      </c>
      <c r="B31" s="1"/>
      <c r="C31" s="13">
        <v>8.1906E-07</v>
      </c>
      <c r="E31" s="1" t="s">
        <v>210</v>
      </c>
      <c r="F31" s="1" t="s">
        <v>151</v>
      </c>
      <c r="G31" s="13">
        <f>G27+G29</f>
        <v>0.002689525832968992</v>
      </c>
    </row>
    <row r="32" spans="1:3" ht="15.75">
      <c r="A32" s="1" t="s">
        <v>91</v>
      </c>
      <c r="B32" s="1" t="s">
        <v>92</v>
      </c>
      <c r="C32" s="13">
        <f>C27+C28*C26+C29*C26^2+C30*C26^3+C31*C26^4</f>
        <v>4163.1353171195315</v>
      </c>
    </row>
    <row r="33" spans="1:3" ht="15.75">
      <c r="A33" s="1" t="s">
        <v>75</v>
      </c>
      <c r="B33" s="22"/>
      <c r="C33" s="12">
        <v>0.0017887</v>
      </c>
    </row>
    <row r="34" spans="1:3" ht="15.75">
      <c r="A34" s="1" t="s">
        <v>76</v>
      </c>
      <c r="B34" s="22"/>
      <c r="C34" s="13">
        <v>-5.1271E-05</v>
      </c>
    </row>
    <row r="35" spans="1:3" ht="15.75">
      <c r="A35" s="1" t="s">
        <v>246</v>
      </c>
      <c r="B35" s="22"/>
      <c r="C35" s="13">
        <v>7.91121E-07</v>
      </c>
    </row>
    <row r="36" spans="1:3" ht="15.75">
      <c r="A36" s="1" t="s">
        <v>247</v>
      </c>
      <c r="B36" s="22"/>
      <c r="C36" s="13">
        <v>-6.752E-09</v>
      </c>
    </row>
    <row r="37" spans="1:3" ht="15">
      <c r="A37" s="1" t="s">
        <v>248</v>
      </c>
      <c r="B37" s="22"/>
      <c r="C37" s="13">
        <v>3.1597E-11</v>
      </c>
    </row>
    <row r="38" spans="1:3" ht="15">
      <c r="A38" s="1" t="s">
        <v>253</v>
      </c>
      <c r="B38" s="22"/>
      <c r="C38" s="13">
        <v>-7.5437E-14</v>
      </c>
    </row>
    <row r="39" spans="1:3" ht="15">
      <c r="A39" s="1" t="s">
        <v>254</v>
      </c>
      <c r="B39" s="22"/>
      <c r="C39" s="13">
        <v>7.1718E-17</v>
      </c>
    </row>
    <row r="40" spans="1:3" ht="15">
      <c r="A40" s="1" t="s">
        <v>255</v>
      </c>
      <c r="B40" s="1" t="s">
        <v>256</v>
      </c>
      <c r="C40" s="13">
        <f>C33+C34*C26+C35*C26^2+C36*C26^3+C37*C26^4+C38*C26^5+C39*C26^6</f>
        <v>0.0005581020478291888</v>
      </c>
    </row>
    <row r="41" spans="1:3" ht="15">
      <c r="A41" s="1" t="s">
        <v>257</v>
      </c>
      <c r="B41" s="1"/>
      <c r="C41" s="12">
        <v>998.0853301123324</v>
      </c>
    </row>
    <row r="42" spans="1:3" ht="15">
      <c r="A42" s="1" t="s">
        <v>258</v>
      </c>
      <c r="B42" s="1"/>
      <c r="C42" s="12">
        <v>-0.061254032747860135</v>
      </c>
    </row>
    <row r="43" spans="1:3" ht="15">
      <c r="A43" s="1" t="s">
        <v>259</v>
      </c>
      <c r="B43" s="1"/>
      <c r="C43" s="12">
        <v>-0.003076198134190129</v>
      </c>
    </row>
    <row r="44" spans="1:3" ht="15">
      <c r="A44" s="1" t="s">
        <v>83</v>
      </c>
      <c r="B44" s="14" t="s">
        <v>84</v>
      </c>
      <c r="C44" s="13">
        <f>C41+C42*C26+C43*C26^2</f>
        <v>988.2350915165425</v>
      </c>
    </row>
    <row r="45" spans="1:3" ht="15">
      <c r="A45" s="1" t="s">
        <v>85</v>
      </c>
      <c r="B45" s="1" t="s">
        <v>86</v>
      </c>
      <c r="C45" s="13">
        <f>C40/C44</f>
        <v>5.647462356074881E-07</v>
      </c>
    </row>
    <row r="46" spans="1:3" ht="15">
      <c r="A46" s="1" t="s">
        <v>104</v>
      </c>
      <c r="B46" s="1"/>
      <c r="C46" s="13">
        <f>C18*C6*2.54/100/C45</f>
        <v>86147.5351429781</v>
      </c>
    </row>
    <row r="47" spans="1:3" ht="15">
      <c r="A47" s="1" t="s">
        <v>105</v>
      </c>
      <c r="B47" s="1"/>
      <c r="C47" s="13">
        <f>0.3164/C46^0.25</f>
        <v>0.01846825068020712</v>
      </c>
    </row>
    <row r="48" spans="1:3" ht="15">
      <c r="A48" s="1" t="s">
        <v>176</v>
      </c>
      <c r="B48" s="1" t="s">
        <v>106</v>
      </c>
      <c r="C48" s="13">
        <f>C9*C47*C18^2*1000*C13/2/C5</f>
        <v>247413.93336659422</v>
      </c>
    </row>
    <row r="49" spans="1:3" ht="15">
      <c r="A49" s="1" t="s">
        <v>176</v>
      </c>
      <c r="B49" s="1" t="s">
        <v>107</v>
      </c>
      <c r="C49" s="7">
        <f>C48*0.000145037738</f>
        <v>35.88435724517355</v>
      </c>
    </row>
    <row r="50" spans="1:3" ht="15">
      <c r="A50" s="1" t="s">
        <v>88</v>
      </c>
      <c r="B50" s="1" t="s">
        <v>107</v>
      </c>
      <c r="C50" s="3">
        <v>15</v>
      </c>
    </row>
    <row r="51" spans="1:3" ht="15">
      <c r="A51" s="1" t="s">
        <v>89</v>
      </c>
      <c r="B51" s="1" t="s">
        <v>107</v>
      </c>
      <c r="C51" s="7">
        <f>C49+C50</f>
        <v>50.88435724517355</v>
      </c>
    </row>
    <row r="52" spans="1:3" ht="15">
      <c r="A52" s="1" t="s">
        <v>170</v>
      </c>
      <c r="C52" s="24">
        <v>8.07131</v>
      </c>
    </row>
    <row r="53" spans="1:3" ht="15">
      <c r="A53" s="1" t="s">
        <v>171</v>
      </c>
      <c r="B53" s="1"/>
      <c r="C53" s="18">
        <v>1730.63</v>
      </c>
    </row>
    <row r="54" spans="1:3" ht="15">
      <c r="A54" s="1" t="s">
        <v>172</v>
      </c>
      <c r="B54" s="1"/>
      <c r="C54" s="18">
        <v>233.426</v>
      </c>
    </row>
    <row r="55" spans="1:24" ht="15">
      <c r="A55" s="1" t="s">
        <v>173</v>
      </c>
      <c r="B55" s="1"/>
      <c r="C55" s="18">
        <v>8.14019</v>
      </c>
      <c r="H55" s="29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9"/>
      <c r="W55" s="29"/>
      <c r="X55" s="30"/>
    </row>
    <row r="56" spans="1:24" ht="15">
      <c r="A56" s="1" t="s">
        <v>174</v>
      </c>
      <c r="B56" s="1"/>
      <c r="C56" s="18">
        <v>1810.94</v>
      </c>
      <c r="H56" s="29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9"/>
      <c r="W56" s="29"/>
      <c r="X56" s="30"/>
    </row>
    <row r="57" spans="1:24" ht="15.75">
      <c r="A57" s="1" t="s">
        <v>2</v>
      </c>
      <c r="B57" s="1"/>
      <c r="C57" s="18">
        <v>244.485</v>
      </c>
      <c r="H57" s="29"/>
      <c r="I57" s="16"/>
      <c r="J57" s="16"/>
      <c r="K57" s="16"/>
      <c r="L57" s="16"/>
      <c r="M57" s="16"/>
      <c r="N57" s="16"/>
      <c r="O57" s="16"/>
      <c r="P57" s="31"/>
      <c r="Q57" s="31"/>
      <c r="R57" s="31"/>
      <c r="S57" s="31"/>
      <c r="T57" s="16"/>
      <c r="U57" s="16"/>
      <c r="V57" s="29"/>
      <c r="W57" s="29"/>
      <c r="X57" s="30"/>
    </row>
    <row r="58" spans="1:24" ht="15.75">
      <c r="A58" s="1" t="s">
        <v>5</v>
      </c>
      <c r="B58" s="1"/>
      <c r="C58" s="18">
        <f>IF(C$25&lt;=100,C52,C55)</f>
        <v>8.07131</v>
      </c>
      <c r="H58" s="29"/>
      <c r="I58" s="16"/>
      <c r="J58" s="16"/>
      <c r="K58" s="16"/>
      <c r="L58" s="16"/>
      <c r="M58" s="16"/>
      <c r="N58" s="16"/>
      <c r="O58" s="16"/>
      <c r="P58" s="31"/>
      <c r="Q58" s="31"/>
      <c r="R58" s="31"/>
      <c r="S58" s="31"/>
      <c r="T58" s="16"/>
      <c r="U58" s="16"/>
      <c r="V58" s="29"/>
      <c r="W58" s="29"/>
      <c r="X58" s="30"/>
    </row>
    <row r="59" spans="1:3" ht="15.75">
      <c r="A59" s="1" t="s">
        <v>6</v>
      </c>
      <c r="B59" s="1"/>
      <c r="C59" s="18">
        <f>IF(C$25&lt;=100,C53,C56)</f>
        <v>1730.63</v>
      </c>
    </row>
    <row r="60" spans="1:3" ht="15.75">
      <c r="A60" s="1" t="s">
        <v>7</v>
      </c>
      <c r="B60" s="1"/>
      <c r="C60" s="18">
        <f>IF(C$25&lt;=100,C54,C57)</f>
        <v>233.426</v>
      </c>
    </row>
    <row r="61" spans="1:3" ht="15.75">
      <c r="A61" s="1" t="s">
        <v>8</v>
      </c>
      <c r="B61" s="1" t="s">
        <v>107</v>
      </c>
      <c r="C61" s="21">
        <f>10^(C58-C59/(C60+C25))*14.695/760</f>
        <v>1.7846669149225405</v>
      </c>
    </row>
    <row r="62" spans="1:3" ht="15.75">
      <c r="A62" s="1" t="s">
        <v>8</v>
      </c>
      <c r="B62" s="1" t="s">
        <v>106</v>
      </c>
      <c r="C62" s="37">
        <f>C61/0.000145037738</f>
        <v>12304.845204649708</v>
      </c>
    </row>
    <row r="63" spans="1:3" ht="15.75">
      <c r="A63" s="1" t="s">
        <v>9</v>
      </c>
      <c r="B63" s="1"/>
      <c r="C63" s="25">
        <v>2</v>
      </c>
    </row>
    <row r="64" spans="1:3" ht="15.75">
      <c r="A64" s="1" t="s">
        <v>263</v>
      </c>
      <c r="B64" s="1" t="s">
        <v>107</v>
      </c>
      <c r="C64" s="21">
        <f>C63*C61</f>
        <v>3.569333829845081</v>
      </c>
    </row>
    <row r="65" spans="1:3" ht="15.75">
      <c r="A65" s="1" t="s">
        <v>263</v>
      </c>
      <c r="B65" s="1" t="s">
        <v>106</v>
      </c>
      <c r="C65" s="37">
        <f>C64/0.000145037738</f>
        <v>24609.690409299415</v>
      </c>
    </row>
    <row r="66" spans="1:3" ht="15.75">
      <c r="A66" s="1" t="s">
        <v>205</v>
      </c>
      <c r="B66" s="1" t="s">
        <v>107</v>
      </c>
      <c r="C66" s="26">
        <f>C51+C64</f>
        <v>54.453691075018625</v>
      </c>
    </row>
    <row r="67" spans="1:3" ht="15.75">
      <c r="A67" s="1" t="s">
        <v>205</v>
      </c>
      <c r="B67" s="1" t="s">
        <v>106</v>
      </c>
      <c r="C67" s="37">
        <f>C66/0.000145037738</f>
        <v>375444.9829810406</v>
      </c>
    </row>
    <row r="68" spans="1:3" ht="15.75">
      <c r="A68" s="1" t="s">
        <v>64</v>
      </c>
      <c r="B68" s="1" t="s">
        <v>107</v>
      </c>
      <c r="C68" s="25">
        <v>100</v>
      </c>
    </row>
    <row r="69" spans="1:3" ht="15.75">
      <c r="A69" s="1" t="s">
        <v>64</v>
      </c>
      <c r="B69" s="1" t="s">
        <v>106</v>
      </c>
      <c r="C69" s="37">
        <f>C68/0.000145037738</f>
        <v>689475.7280343134</v>
      </c>
    </row>
    <row r="70" spans="1:3" ht="15.75">
      <c r="A70" s="15" t="s">
        <v>117</v>
      </c>
      <c r="B70" s="15" t="s">
        <v>118</v>
      </c>
      <c r="C70" s="13">
        <f>C21*C32*C44*C8</f>
        <v>5502.181660135664</v>
      </c>
    </row>
    <row r="71" spans="1:3" ht="15.75">
      <c r="A71" s="15" t="s">
        <v>143</v>
      </c>
      <c r="B71" s="15" t="s">
        <v>144</v>
      </c>
      <c r="C71" s="13">
        <v>1.7241E-08</v>
      </c>
    </row>
    <row r="72" spans="1:3" ht="15.75">
      <c r="A72" s="15" t="s">
        <v>145</v>
      </c>
      <c r="B72" s="1"/>
      <c r="C72" s="28">
        <v>1</v>
      </c>
    </row>
    <row r="73" spans="1:3" ht="15.75">
      <c r="A73" s="15" t="s">
        <v>152</v>
      </c>
      <c r="B73" s="1" t="s">
        <v>144</v>
      </c>
      <c r="C73" s="13">
        <f>C71/C72</f>
        <v>1.7241E-08</v>
      </c>
    </row>
    <row r="74" spans="1:3" ht="15.75">
      <c r="A74" s="1" t="s">
        <v>113</v>
      </c>
      <c r="B74" s="1" t="s">
        <v>151</v>
      </c>
      <c r="C74" s="13">
        <f>C73*C13/C7/C8</f>
        <v>5.494065524570711E-05</v>
      </c>
    </row>
    <row r="75" spans="1:3" ht="15.75">
      <c r="A75" s="15" t="s">
        <v>148</v>
      </c>
      <c r="B75" s="1" t="s">
        <v>146</v>
      </c>
      <c r="C75" s="20">
        <v>0.0041</v>
      </c>
    </row>
    <row r="76" spans="1:3" ht="15.75">
      <c r="A76" s="15" t="s">
        <v>147</v>
      </c>
      <c r="B76" s="1" t="s">
        <v>144</v>
      </c>
      <c r="C76" s="13">
        <f>C73*(1+C75*(C26-20))</f>
        <v>1.9184922749999997E-08</v>
      </c>
    </row>
    <row r="77" spans="1:3" ht="15.75">
      <c r="A77" s="1" t="s">
        <v>114</v>
      </c>
      <c r="B77" s="1" t="s">
        <v>151</v>
      </c>
      <c r="C77" s="13">
        <f>C74*C76/C73</f>
        <v>6.113521412466058E-05</v>
      </c>
    </row>
    <row r="78" spans="1:3" ht="15.75">
      <c r="A78" s="15" t="s">
        <v>46</v>
      </c>
      <c r="B78" s="1" t="s">
        <v>149</v>
      </c>
      <c r="C78" s="13">
        <f>C16^2*C77</f>
        <v>13755.42317804863</v>
      </c>
    </row>
    <row r="79" spans="1:3" ht="15.75">
      <c r="A79" s="1" t="s">
        <v>245</v>
      </c>
      <c r="B79" s="1" t="s">
        <v>45</v>
      </c>
      <c r="C79" s="11">
        <f>G20/C13</f>
        <v>0.4534754893862186</v>
      </c>
    </row>
    <row r="80" spans="1:3" ht="15.75">
      <c r="A80" s="1" t="s">
        <v>49</v>
      </c>
      <c r="B80" s="1"/>
      <c r="C80" s="3">
        <v>1</v>
      </c>
    </row>
    <row r="81" spans="1:3" ht="15.75">
      <c r="A81" s="1" t="s">
        <v>4</v>
      </c>
      <c r="B81" s="1"/>
      <c r="C81" s="3">
        <v>1</v>
      </c>
    </row>
    <row r="82" spans="1:3" ht="15.75">
      <c r="A82" s="1" t="s">
        <v>3</v>
      </c>
      <c r="B82" s="1"/>
      <c r="C82" s="7">
        <f>2*C80*C81</f>
        <v>2</v>
      </c>
    </row>
    <row r="83" spans="1:3" ht="15.75">
      <c r="A83" s="1" t="s">
        <v>47</v>
      </c>
      <c r="B83" s="1"/>
      <c r="C83" s="11">
        <f>C82*C78/(C82*C78+C80*Coil!C101)</f>
        <v>0.04546170434598344</v>
      </c>
    </row>
    <row r="84" spans="1:3" ht="15.75">
      <c r="A84" s="15" t="s">
        <v>12</v>
      </c>
      <c r="B84" s="1" t="s">
        <v>90</v>
      </c>
      <c r="C84" s="26">
        <f>C9*C78/C70</f>
        <v>4.999988741814631</v>
      </c>
    </row>
    <row r="85" spans="1:3" ht="15.75">
      <c r="A85" s="15" t="s">
        <v>65</v>
      </c>
      <c r="B85" s="1" t="s">
        <v>90</v>
      </c>
      <c r="C85" s="21">
        <f>C25-C24</f>
        <v>5</v>
      </c>
    </row>
    <row r="86" spans="1:3" ht="15.75">
      <c r="A86" s="15" t="s">
        <v>186</v>
      </c>
      <c r="B86" s="15" t="s">
        <v>146</v>
      </c>
      <c r="C86" s="12">
        <v>0.105</v>
      </c>
    </row>
    <row r="87" spans="1:3" ht="15.75">
      <c r="A87" s="15" t="s">
        <v>185</v>
      </c>
      <c r="B87" s="15" t="s">
        <v>158</v>
      </c>
      <c r="C87" s="12">
        <v>393.5</v>
      </c>
    </row>
    <row r="88" spans="1:3" ht="15.75">
      <c r="A88" s="15" t="s">
        <v>160</v>
      </c>
      <c r="B88" s="15" t="s">
        <v>158</v>
      </c>
      <c r="C88" s="12">
        <f>393.5+C86*(C26-20)</f>
        <v>396.3875</v>
      </c>
    </row>
    <row r="89" spans="1:3" ht="15.75">
      <c r="A89" s="15" t="s">
        <v>159</v>
      </c>
      <c r="B89" s="15" t="s">
        <v>84</v>
      </c>
      <c r="C89" s="12">
        <v>8950</v>
      </c>
    </row>
    <row r="90" spans="1:3" ht="15.75">
      <c r="A90" s="15" t="s">
        <v>134</v>
      </c>
      <c r="B90" s="15" t="s">
        <v>135</v>
      </c>
      <c r="C90" s="13">
        <f>C88*C89*C7*C13</f>
        <v>512179.1353739261</v>
      </c>
    </row>
    <row r="91" spans="1:3" ht="15.75">
      <c r="A91" s="15" t="s">
        <v>136</v>
      </c>
      <c r="B91" s="15" t="s">
        <v>137</v>
      </c>
      <c r="C91" s="11">
        <f>C78/C90</f>
        <v>0.026856664451991436</v>
      </c>
    </row>
    <row r="92" spans="1:3" ht="15.75">
      <c r="A92" s="1" t="s">
        <v>243</v>
      </c>
      <c r="B92" s="1" t="s">
        <v>73</v>
      </c>
      <c r="C92" s="13">
        <f>C82*C21*C8</f>
        <v>0.0026747557021790606</v>
      </c>
    </row>
    <row r="93" spans="1:3" ht="15.75">
      <c r="A93" s="1" t="s">
        <v>244</v>
      </c>
      <c r="B93" s="1" t="s">
        <v>242</v>
      </c>
      <c r="C93" s="21">
        <f>C82*C23*C8</f>
        <v>2.6432874461273177</v>
      </c>
    </row>
    <row r="94" spans="1:3" ht="15.75">
      <c r="A94" s="1" t="s">
        <v>24</v>
      </c>
      <c r="B94" s="1" t="s">
        <v>151</v>
      </c>
      <c r="C94" s="13">
        <f>C82*C74</f>
        <v>0.00010988131049141422</v>
      </c>
    </row>
    <row r="95" spans="1:3" ht="15.75">
      <c r="A95" s="1" t="s">
        <v>211</v>
      </c>
      <c r="B95" s="1" t="s">
        <v>151</v>
      </c>
      <c r="C95" s="13">
        <f>C94*C76/C73</f>
        <v>0.00012227042824932116</v>
      </c>
    </row>
    <row r="96" spans="1:3" ht="15.75">
      <c r="A96" s="1" t="s">
        <v>190</v>
      </c>
      <c r="B96" s="1" t="s">
        <v>191</v>
      </c>
      <c r="C96" s="12">
        <v>250</v>
      </c>
    </row>
    <row r="97" spans="1:3" ht="15.75">
      <c r="A97" s="1" t="s">
        <v>93</v>
      </c>
      <c r="B97" s="1" t="s">
        <v>67</v>
      </c>
      <c r="C97" s="40">
        <f>C96/C7/C89</f>
        <v>5.868920332867766</v>
      </c>
    </row>
    <row r="139" ht="15.75">
      <c r="D139" s="32"/>
    </row>
    <row r="145" ht="15.75">
      <c r="D145" s="3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67" sqref="D67"/>
    </sheetView>
  </sheetViews>
  <sheetFormatPr defaultColWidth="11.00390625" defaultRowHeight="12.75"/>
  <cols>
    <col min="1" max="1" width="29.375" style="0" customWidth="1"/>
  </cols>
  <sheetData>
    <row r="1" spans="1:5" ht="15.75">
      <c r="A1" s="1" t="s">
        <v>30</v>
      </c>
      <c r="B1" s="1"/>
      <c r="C1" s="12" t="s">
        <v>196</v>
      </c>
      <c r="D1" s="12" t="s">
        <v>197</v>
      </c>
      <c r="E1" s="12" t="s">
        <v>198</v>
      </c>
    </row>
    <row r="2" spans="1:5" ht="15.75">
      <c r="A2" s="1" t="s">
        <v>226</v>
      </c>
      <c r="B2" s="1" t="s">
        <v>67</v>
      </c>
      <c r="C2" s="12">
        <f>Coil!C2</f>
        <v>0.176</v>
      </c>
      <c r="D2" s="12">
        <f>C2</f>
        <v>0.176</v>
      </c>
      <c r="E2" s="12">
        <f>D2</f>
        <v>0.176</v>
      </c>
    </row>
    <row r="3" spans="1:5" ht="15.75">
      <c r="A3" s="1" t="s">
        <v>199</v>
      </c>
      <c r="B3" s="1" t="s">
        <v>67</v>
      </c>
      <c r="C3" s="52">
        <v>7.80653</v>
      </c>
      <c r="D3" s="52">
        <v>8.72567</v>
      </c>
      <c r="E3" s="52">
        <v>8.31561</v>
      </c>
    </row>
    <row r="4" spans="1:5" ht="15.75">
      <c r="A4" s="1" t="s">
        <v>102</v>
      </c>
      <c r="B4" s="1" t="s">
        <v>67</v>
      </c>
      <c r="C4" s="52">
        <v>3.44097</v>
      </c>
      <c r="D4" s="52">
        <v>1.82792</v>
      </c>
      <c r="E4" s="52">
        <v>-1.58515</v>
      </c>
    </row>
    <row r="5" spans="1:5" ht="15.75">
      <c r="A5" s="1" t="s">
        <v>103</v>
      </c>
      <c r="B5" s="1" t="s">
        <v>67</v>
      </c>
      <c r="C5" s="52">
        <v>8.34407</v>
      </c>
      <c r="D5" s="52">
        <v>8.76689</v>
      </c>
      <c r="E5" s="52">
        <v>7.84762</v>
      </c>
    </row>
    <row r="6" spans="1:5" ht="15.75">
      <c r="A6" s="1" t="s">
        <v>35</v>
      </c>
      <c r="B6" s="1" t="s">
        <v>67</v>
      </c>
      <c r="C6" s="52">
        <v>2.67269</v>
      </c>
      <c r="D6" s="52">
        <v>-0.59195</v>
      </c>
      <c r="E6" s="52">
        <v>-2.43618</v>
      </c>
    </row>
    <row r="7" spans="1:5" ht="15.75">
      <c r="A7" s="1" t="s">
        <v>36</v>
      </c>
      <c r="B7" s="1" t="s">
        <v>39</v>
      </c>
      <c r="C7" s="52">
        <f>2*14.25</f>
        <v>28.5</v>
      </c>
      <c r="D7" s="52">
        <f>6.65+13.35</f>
        <v>20</v>
      </c>
      <c r="E7" s="52">
        <f>2*15</f>
        <v>30</v>
      </c>
    </row>
    <row r="8" spans="1:5" ht="15.75">
      <c r="A8" s="1" t="s">
        <v>220</v>
      </c>
      <c r="B8" s="1" t="s">
        <v>67</v>
      </c>
      <c r="C8" s="52">
        <f>C7/360*2*PI()*(C3-C2/2)</f>
        <v>3.8393422145478007</v>
      </c>
      <c r="D8" s="52">
        <f>D7/360*2*PI()*(D3-D2/2)</f>
        <v>3.015115624014772</v>
      </c>
      <c r="E8" s="52">
        <f>E7/360*2*PI()*(E3-E2/2)</f>
        <v>4.30796652210032</v>
      </c>
    </row>
    <row r="9" spans="1:5" ht="15.75">
      <c r="A9" s="1" t="s">
        <v>221</v>
      </c>
      <c r="B9" s="1" t="s">
        <v>67</v>
      </c>
      <c r="C9" s="52">
        <f>C7/360*2*PI()*(C5-C2/2)</f>
        <v>4.106724736091155</v>
      </c>
      <c r="D9" s="52">
        <f>D7/360*2*PI()*(D5-D2/2)</f>
        <v>3.0295041183682136</v>
      </c>
      <c r="E9" s="52">
        <f>E7/360*2*PI()*(E5-E2/2)</f>
        <v>4.0629275311080715</v>
      </c>
    </row>
    <row r="10" spans="1:5" ht="15.75">
      <c r="A10" s="1" t="s">
        <v>222</v>
      </c>
      <c r="B10" s="1" t="s">
        <v>67</v>
      </c>
      <c r="C10" s="52">
        <f>(C8+C9)/2</f>
        <v>3.973033475319478</v>
      </c>
      <c r="D10" s="52">
        <f>(D8+D9)/2</f>
        <v>3.022309871191493</v>
      </c>
      <c r="E10" s="52">
        <f>(E8+E9)/2</f>
        <v>4.185447026604196</v>
      </c>
    </row>
    <row r="11" spans="1:5" ht="15.75">
      <c r="A11" s="1" t="s">
        <v>223</v>
      </c>
      <c r="B11" s="1" t="s">
        <v>67</v>
      </c>
      <c r="C11" s="52">
        <f>SQRT((C3-C5)^2+(C4-C6)^2)</f>
        <v>0.9376584719395439</v>
      </c>
      <c r="D11" s="52">
        <f>SQRT((D3-D5)^2+(D4-D6)^2)</f>
        <v>2.4202210447188497</v>
      </c>
      <c r="E11" s="52">
        <f>SQRT((E3-E5)^2+(E4-E6)^2)</f>
        <v>0.9712191827800761</v>
      </c>
    </row>
    <row r="12" spans="1:5" ht="15.75">
      <c r="A12" s="1" t="s">
        <v>224</v>
      </c>
      <c r="B12" s="1" t="s">
        <v>67</v>
      </c>
      <c r="C12" s="52">
        <f>C8+C9+2*C11</f>
        <v>9.821383894518044</v>
      </c>
      <c r="D12" s="52">
        <f>D8+D9+2*D11</f>
        <v>10.885061831820686</v>
      </c>
      <c r="E12" s="52">
        <f>E8+E9+2*E11</f>
        <v>10.313332418768544</v>
      </c>
    </row>
    <row r="13" spans="3:5" ht="12.75">
      <c r="C13" s="45"/>
      <c r="D13" s="45"/>
      <c r="E13" s="45"/>
    </row>
    <row r="14" spans="3:5" ht="12.75">
      <c r="C14" s="45"/>
      <c r="D14" s="45"/>
      <c r="E14" s="45"/>
    </row>
    <row r="15" spans="3:5" ht="12.75">
      <c r="C15" s="45"/>
      <c r="D15" s="45"/>
      <c r="E15" s="45"/>
    </row>
    <row r="16" spans="3:5" ht="12.75">
      <c r="C16" s="45"/>
      <c r="D16" s="45"/>
      <c r="E16" s="4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6" sqref="C6"/>
    </sheetView>
  </sheetViews>
  <sheetFormatPr defaultColWidth="11.00390625" defaultRowHeight="12.75"/>
  <cols>
    <col min="1" max="1" width="30.875" style="2" bestFit="1" customWidth="1"/>
    <col min="2" max="2" width="14.625" style="2" customWidth="1"/>
    <col min="3" max="4" width="13.875" style="2" bestFit="1" customWidth="1"/>
    <col min="5" max="5" width="9.625" style="2" bestFit="1" customWidth="1"/>
    <col min="6" max="6" width="12.375" style="2" bestFit="1" customWidth="1"/>
    <col min="7" max="16384" width="10.75390625" style="2" customWidth="1"/>
  </cols>
  <sheetData>
    <row r="1" ht="15.75">
      <c r="A1" s="44" t="s">
        <v>163</v>
      </c>
    </row>
    <row r="2" spans="1:5" ht="15.75">
      <c r="A2" s="35" t="str">
        <f>Coil_Dims!A10</f>
        <v>Average toroidal length</v>
      </c>
      <c r="B2" s="1" t="s">
        <v>67</v>
      </c>
      <c r="C2" s="35">
        <f>Coil_Dims!C10</f>
        <v>3.973033475319478</v>
      </c>
      <c r="D2" s="35">
        <f>Coil_Dims!D10</f>
        <v>3.022309871191493</v>
      </c>
      <c r="E2" s="35">
        <f>Coil_Dims!E10</f>
        <v>4.185447026604196</v>
      </c>
    </row>
    <row r="3" spans="1:5" ht="15.75">
      <c r="A3" s="35" t="str">
        <f>Coil_Dims!A11</f>
        <v>Poloidal length</v>
      </c>
      <c r="B3" s="1" t="s">
        <v>67</v>
      </c>
      <c r="C3" s="35">
        <f>Coil_Dims!C11</f>
        <v>0.9376584719395439</v>
      </c>
      <c r="D3" s="35">
        <f>Coil_Dims!D11</f>
        <v>2.4202210447188497</v>
      </c>
      <c r="E3" s="35">
        <f>Coil_Dims!E11</f>
        <v>0.9712191827800761</v>
      </c>
    </row>
    <row r="4" spans="1:5" ht="15.75">
      <c r="A4" s="1" t="s">
        <v>225</v>
      </c>
      <c r="B4" s="1" t="s">
        <v>67</v>
      </c>
      <c r="C4" s="35">
        <f>Coil!C1</f>
        <v>0.123</v>
      </c>
      <c r="D4" s="35">
        <f>C4</f>
        <v>0.123</v>
      </c>
      <c r="E4" s="35">
        <f>D4</f>
        <v>0.123</v>
      </c>
    </row>
    <row r="5" spans="1:5" ht="15.75">
      <c r="A5" s="1" t="s">
        <v>226</v>
      </c>
      <c r="B5" s="1" t="s">
        <v>67</v>
      </c>
      <c r="C5" s="35">
        <f>Coil!C2</f>
        <v>0.176</v>
      </c>
      <c r="D5" s="35">
        <f>C5</f>
        <v>0.176</v>
      </c>
      <c r="E5" s="35">
        <f>D5</f>
        <v>0.176</v>
      </c>
    </row>
    <row r="6" spans="1:5" ht="15.75">
      <c r="A6" s="1" t="s">
        <v>227</v>
      </c>
      <c r="B6" s="1" t="s">
        <v>67</v>
      </c>
      <c r="C6" s="35">
        <f>SQRT(C4*C5/PI())</f>
        <v>0.08301067651878703</v>
      </c>
      <c r="D6" s="35">
        <f>SQRT(D4*D5/PI())</f>
        <v>0.08301067651878703</v>
      </c>
      <c r="E6" s="35">
        <f>SQRT(E4*E5/PI())</f>
        <v>0.08301067651878703</v>
      </c>
    </row>
    <row r="7" spans="1:6" ht="15.75">
      <c r="A7" s="1" t="s">
        <v>228</v>
      </c>
      <c r="B7" s="1" t="s">
        <v>116</v>
      </c>
      <c r="C7" s="14">
        <f>4*PI()*0.0000001/PI()*(C2*LN(2*C2/C6)+C3*LN(2*C3/C6)+2*SQRT(C2^2+C3^2)-C2*ASINH(C2/C3)-C3*ASINH(C3/C2)-1.75*(C2+C3))</f>
        <v>4.741063198096105E-06</v>
      </c>
      <c r="D7" s="14">
        <f>4*PI()*0.0000001/PI()*(D2*LN(2*D2/D6)+D3*LN(2*D3/D6)+2*SQRT(D2^2+D3^2)-D2*ASINH(D2/D3)-D3*ASINH(D3/D2)-1.75*(D2+D3))</f>
        <v>6.4322126104959384E-06</v>
      </c>
      <c r="E7" s="14">
        <f>4*PI()*0.0000001/PI()*(E2*LN(2*E2/E6)+E3*LN(2*E3/E6)+2*SQRT(E2^2+E3^2)-E2*ASINH(E2/E3)-E3*ASINH(E3/E2)-1.75*(E2+E3))</f>
        <v>5.05878291032776E-06</v>
      </c>
      <c r="F7" s="2" t="s">
        <v>29</v>
      </c>
    </row>
    <row r="8" spans="1:5" ht="15.75">
      <c r="A8" s="1" t="s">
        <v>140</v>
      </c>
      <c r="B8" s="1"/>
      <c r="C8" s="34">
        <f>Coil!C36</f>
        <v>6</v>
      </c>
      <c r="D8" s="34">
        <f>C8</f>
        <v>6</v>
      </c>
      <c r="E8" s="34">
        <f>D8</f>
        <v>6</v>
      </c>
    </row>
    <row r="9" spans="1:5" ht="15.75">
      <c r="A9" s="1" t="s">
        <v>229</v>
      </c>
      <c r="B9" s="1" t="s">
        <v>116</v>
      </c>
      <c r="C9" s="14">
        <f>C7*C8^2</f>
        <v>0.00017067827513145978</v>
      </c>
      <c r="D9" s="14">
        <f>D7*D8^2</f>
        <v>0.00023155965397785377</v>
      </c>
      <c r="E9" s="14">
        <f>E7*E8^2</f>
        <v>0.00018211618477179936</v>
      </c>
    </row>
    <row r="10" spans="3:5" ht="15.75">
      <c r="C10" s="46"/>
      <c r="D10" s="46"/>
      <c r="E10" s="46"/>
    </row>
    <row r="11" ht="15.75">
      <c r="B11" s="1" t="s">
        <v>169</v>
      </c>
    </row>
    <row r="12" spans="2:5" ht="15.75">
      <c r="B12" s="24">
        <v>15</v>
      </c>
      <c r="C12" s="24">
        <v>6</v>
      </c>
      <c r="D12" s="24">
        <v>6</v>
      </c>
      <c r="E12" s="24">
        <v>6</v>
      </c>
    </row>
    <row r="13" spans="1:5" ht="15.75">
      <c r="A13" s="2" t="s">
        <v>164</v>
      </c>
      <c r="B13" s="24">
        <v>10</v>
      </c>
      <c r="C13" s="24">
        <f aca="true" t="shared" si="0" ref="C13:E14">C2*100</f>
        <v>397.3033475319478</v>
      </c>
      <c r="D13" s="24">
        <f t="shared" si="0"/>
        <v>302.2309871191493</v>
      </c>
      <c r="E13" s="24">
        <f t="shared" si="0"/>
        <v>418.5447026604196</v>
      </c>
    </row>
    <row r="14" spans="1:5" ht="15.75">
      <c r="A14" s="2" t="s">
        <v>165</v>
      </c>
      <c r="B14" s="24">
        <v>5</v>
      </c>
      <c r="C14" s="24">
        <f t="shared" si="0"/>
        <v>93.76584719395439</v>
      </c>
      <c r="D14" s="24">
        <f t="shared" si="0"/>
        <v>242.02210447188497</v>
      </c>
      <c r="E14" s="24">
        <f t="shared" si="0"/>
        <v>97.12191827800761</v>
      </c>
    </row>
    <row r="15" spans="1:5" ht="15.75">
      <c r="A15" s="2" t="s">
        <v>166</v>
      </c>
      <c r="B15" s="24">
        <v>3</v>
      </c>
      <c r="C15" s="24">
        <f>C5*100</f>
        <v>17.599999999999998</v>
      </c>
      <c r="D15" s="24">
        <f>D5*100</f>
        <v>17.599999999999998</v>
      </c>
      <c r="E15" s="24">
        <f>E5*100</f>
        <v>17.599999999999998</v>
      </c>
    </row>
    <row r="16" spans="1:5" ht="15.75">
      <c r="A16" s="2" t="s">
        <v>167</v>
      </c>
      <c r="B16" s="24">
        <f>SQRT(B13^2+B14^2)</f>
        <v>11.180339887498949</v>
      </c>
      <c r="C16" s="24">
        <f>SQRT(C13^2+C14^2)</f>
        <v>408.21805944873586</v>
      </c>
      <c r="D16" s="24">
        <f>SQRT(D13^2+D14^2)</f>
        <v>387.1928054961964</v>
      </c>
      <c r="E16" s="24">
        <f>SQRT(E13^2+E14^2)</f>
        <v>429.6653757694458</v>
      </c>
    </row>
    <row r="17" spans="2:5" ht="15.75">
      <c r="B17" s="24">
        <f>0.008*B12^2*B13*B14/B15</f>
        <v>30</v>
      </c>
      <c r="C17" s="24">
        <f>0.008*C12^2*C13*C14/C15</f>
        <v>609.6024813980811</v>
      </c>
      <c r="D17" s="24">
        <f>0.008*D12^2*D13*D14/D15</f>
        <v>1196.9440288231367</v>
      </c>
      <c r="E17" s="24">
        <f>0.008*E12^2*E13*E14/E15</f>
        <v>665.179599395099</v>
      </c>
    </row>
    <row r="18" spans="2:5" ht="15.75">
      <c r="B18" s="24">
        <f>1/2*B15/B14*ASINH(B13/B15)</f>
        <v>0.5756689416295593</v>
      </c>
      <c r="C18" s="24">
        <f>1/2*C15/C14*ASINH(C13/C15)</f>
        <v>0.35761272012675516</v>
      </c>
      <c r="D18" s="24">
        <f>1/2*D15/D14*ASINH(D13/D15)</f>
        <v>0.12861685471272624</v>
      </c>
      <c r="E18" s="24">
        <f>1/2*E15/E14*ASINH(E13/E15)</f>
        <v>0.34997011564286823</v>
      </c>
    </row>
    <row r="19" spans="2:5" ht="15.75">
      <c r="B19" s="24">
        <f>1/2*B15/B13*ASINH(B14/B15)</f>
        <v>0.19256934941147888</v>
      </c>
      <c r="C19" s="24">
        <f>1/2*C15/C13*ASINH(C14/C15)</f>
        <v>0.05259894416576174</v>
      </c>
      <c r="D19" s="24">
        <f>1/2*D15/D13*ASINH(D14/D15)</f>
        <v>0.096539577610067</v>
      </c>
      <c r="E19" s="24">
        <f>1/2*E15/E13*ASINH(E14/E15)</f>
        <v>0.05065663754958</v>
      </c>
    </row>
    <row r="20" spans="2:5" ht="15.75">
      <c r="B20" s="24">
        <f>-1/2*(1-B14^2/B15^2)*B15/B14*ASINH(B13/B15/SQRT(1+B14^2/B15^2))</f>
        <v>0.6978100076292917</v>
      </c>
      <c r="C20" s="24">
        <f>-1/2*(1-C14^2/C15^2)*C15/C14*ASINH(C13/C15/SQRT(1+C14^2/C15^2))</f>
        <v>5.483883776307023</v>
      </c>
      <c r="D20" s="24">
        <f>-1/2*(1-D14^2/D15^2)*D15/D14*ASINH(D13/D15/SQRT(1+D14^2/D15^2))</f>
        <v>7.145459358306363</v>
      </c>
      <c r="E20" s="24">
        <f>-1/2*(1-E14^2/E15^2)*E15/E14*ASINH(E13/E15/SQRT(1+E14^2/E15^2))</f>
        <v>5.741172659170473</v>
      </c>
    </row>
    <row r="21" spans="2:5" ht="15.75">
      <c r="B21" s="24">
        <f>-1/2*(1-B13^2/B15^2)*B15/B13*ASINH(B14/B15/SQRT(1+B13^2/B15^2))</f>
        <v>0.7011126630923508</v>
      </c>
      <c r="C21" s="24">
        <f>-1/2*(1-C13^2/C15^2)*C15/C13*ASINH(C14/C15/SQRT(1+C13^2/C15^2))</f>
        <v>2.6319589376302246</v>
      </c>
      <c r="D21" s="24">
        <f>-1/2*(1-D13^2/D15^2)*D15/D13*ASINH(D14/D15/SQRT(1+D13^2/D15^2))</f>
        <v>6.26563206617055</v>
      </c>
      <c r="E21" s="24">
        <f>-1/2*(1-E13^2/E15^2)*E15/E13*ASINH(E14/E15/SQRT(1+E13^2/E15^2))</f>
        <v>2.7277604234166932</v>
      </c>
    </row>
    <row r="22" spans="2:5" ht="15.75">
      <c r="B22" s="24">
        <f>-1/2*B14/B15*ASINH(B13/B14)</f>
        <v>-1.2030295626490086</v>
      </c>
      <c r="C22" s="24">
        <f>-1/2*C14/C15*ASINH(C13/C14)</f>
        <v>-5.729010928023123</v>
      </c>
      <c r="D22" s="24">
        <f>-1/2*D14/D15*ASINH(D13/D14)</f>
        <v>-7.197593705419415</v>
      </c>
      <c r="E22" s="24">
        <f>-1/2*E14/E15*ASINH(E13/E14)</f>
        <v>-5.9795130347859455</v>
      </c>
    </row>
    <row r="23" spans="2:5" ht="15.75">
      <c r="B23" s="24">
        <f>-1/2*B13/B15*ASINH(B14/B13)</f>
        <v>-0.8020197084326725</v>
      </c>
      <c r="C23" s="24">
        <f>-1/2*C13/C15*ASINH(C14/C13)</f>
        <v>-2.6396740976998467</v>
      </c>
      <c r="D23" s="24">
        <f>-1/2*D13/D15*ASINH(D14/D13)</f>
        <v>-6.296032002119171</v>
      </c>
      <c r="E23" s="24">
        <f>-1/2*E13/E15*ASINH(E14/E13)</f>
        <v>-2.7349654945396606</v>
      </c>
    </row>
    <row r="24" spans="2:5" ht="15.75">
      <c r="B24" s="24">
        <f>+(PI()/2-ATAN(B13*B14/B15^2/SQRT(1+B16^2/B15^2)))</f>
        <v>0.6070590179081283</v>
      </c>
      <c r="C24" s="24">
        <f>+(PI()/2-ATAN(C13*C14/C15^2/SQRT(1+C16^2/C15^2)))</f>
        <v>0.190691783173786</v>
      </c>
      <c r="D24" s="24">
        <f>+(PI()/2-ATAN(D13*D14/D15^2/SQRT(1+D16^2/D15^2)))</f>
        <v>0.09299075532611356</v>
      </c>
      <c r="E24" s="24">
        <f>+(PI()/2-ATAN(E13*E14/E15^2/SQRT(1+E16^2/E15^2)))</f>
        <v>0.18407866747842094</v>
      </c>
    </row>
    <row r="25" spans="2:5" ht="15.75">
      <c r="B25" s="24">
        <f>1/3*B15^2/B13/B14*SQRT(1+B16^2/B15^2)*(1-1/2*B16^2/B15^2)</f>
        <v>-1.3762383873317272</v>
      </c>
      <c r="C25" s="24">
        <f>1/3*C15^2/C13/C14*SQRT(1+C16^2/C15^2)*(1-1/2*C16^2/C15^2)</f>
        <v>-17.243741787846965</v>
      </c>
      <c r="D25" s="24">
        <f>1/3*D15^2/D13/D14*SQRT(1+D16^2/D15^2)*(1-1/2*D16^2/D15^2)</f>
        <v>-7.491584992462728</v>
      </c>
      <c r="E25" s="24">
        <f>1/3*E15^2/E13/E14*SQRT(1+E16^2/E15^2)*(1-1/2*E16^2/E15^2)</f>
        <v>-18.431990903796834</v>
      </c>
    </row>
    <row r="26" spans="2:5" ht="15.75">
      <c r="B26" s="24">
        <f>1/3*B15^2/B13/B14</f>
        <v>0.06</v>
      </c>
      <c r="C26" s="24">
        <f>1/3*C15^2/C13/C14</f>
        <v>0.002771642261240504</v>
      </c>
      <c r="D26" s="24">
        <f>1/3*D15^2/D13/D14</f>
        <v>0.001411594827588767</v>
      </c>
      <c r="E26" s="24">
        <f>1/3*E15^2/E13/E14</f>
        <v>0.0025400658732415847</v>
      </c>
    </row>
    <row r="27" spans="2:5" ht="15.75">
      <c r="B27" s="24">
        <f>-1/3*B15^2/B13/B14*SQRT(1+B13^2/B15^2)*(1-1/2*B13^2/B15^2)</f>
        <v>0.9512279263674055</v>
      </c>
      <c r="C27" s="24">
        <f>-1/3*C15^2/C13/C14*SQRT(1+C13^2/C15^2)*(1-1/2*C13^2/C15^2)</f>
        <v>15.894750222077443</v>
      </c>
      <c r="D27" s="24">
        <f>-1/3*D15^2/D13/D14*SQRT(1+D13^2/D15^2)*(1-1/2*D13^2/D15^2)</f>
        <v>3.555810514094944</v>
      </c>
      <c r="E27" s="24">
        <f>-1/3*E15^2/E13/E14*SQRT(1+E13^2/E15^2)*(1-1/2*E13^2/E15^2)</f>
        <v>17.035212744939795</v>
      </c>
    </row>
    <row r="28" spans="2:5" ht="15.75">
      <c r="B28" s="24">
        <f>-1/3*B15^2/B13/B14*SQRT(1+B14^2/B15^2)*(1-1/2*B14^2/B15^2)</f>
        <v>0.045351848071018996</v>
      </c>
      <c r="C28" s="24">
        <f>-1/3*C15^2/C13/C14*SQRT(1+C14^2/C15^2)*(1-1/2*C14^2/C15^2)</f>
        <v>0.19819302098144856</v>
      </c>
      <c r="D28" s="24">
        <f>-1/3*D15^2/D13/D14*SQRT(1+D14^2/D15^2)*(1-1/2*D14^2/D15^2)</f>
        <v>1.8206843367569199</v>
      </c>
      <c r="E28" s="24">
        <f>-1/3*E15^2/E13/E14*SQRT(1+E14^2/E15^2)*(1-1/2*E14^2/E15^2)</f>
        <v>0.2026476516868701</v>
      </c>
    </row>
    <row r="29" spans="2:5" ht="15.75">
      <c r="B29" s="24">
        <f>1/6*B15/B13/B14*(B16^3-B13^3-B14^3)/B15^2</f>
        <v>0.3028249843748543</v>
      </c>
      <c r="C29" s="24">
        <f>1/6*C15/C13/C14*(C16^3-C13^3-C14^3)/C15^2</f>
        <v>1.140721349970127</v>
      </c>
      <c r="D29" s="24">
        <f>1/6*D15/D13/D14*(D16^3-D13^3-D14^3)/D15^2</f>
        <v>2.1055746839883933</v>
      </c>
      <c r="E29" s="24">
        <f>1/6*E15/E13/E14*(E16^3-E13^3-E14^3)/E15^2</f>
        <v>1.1845634590119172</v>
      </c>
    </row>
    <row r="30" spans="2:6" ht="15.75">
      <c r="B30" s="14">
        <f>B17*SUM(B18:B29)*0.000001</f>
        <v>2.257011240212038E-05</v>
      </c>
      <c r="C30" s="14">
        <f>C17*SUM(C18:C29)*0.000001</f>
        <v>0.0002077254490225645</v>
      </c>
      <c r="D30" s="14">
        <f>D17*SUM(D18:D29)*0.000001</f>
        <v>0.00027231558907663016</v>
      </c>
      <c r="E30" s="14">
        <f>E17*SUM(E18:E29)*0.000001</f>
        <v>0.000220928090329925</v>
      </c>
      <c r="F30" s="2" t="s">
        <v>168</v>
      </c>
    </row>
    <row r="31" spans="3:5" ht="15.75">
      <c r="C31" s="46"/>
      <c r="D31" s="46"/>
      <c r="E31" s="46"/>
    </row>
    <row r="32" spans="1:5" ht="15.75">
      <c r="A32" s="44" t="s">
        <v>31</v>
      </c>
      <c r="C32" s="46"/>
      <c r="D32" s="46"/>
      <c r="E32" s="46"/>
    </row>
    <row r="33" spans="1:5" ht="15.75">
      <c r="A33" s="1" t="s">
        <v>233</v>
      </c>
      <c r="B33" s="1" t="s">
        <v>67</v>
      </c>
      <c r="C33" s="47">
        <v>0.005</v>
      </c>
      <c r="D33" s="46"/>
      <c r="E33" s="46"/>
    </row>
    <row r="34" spans="1:5" ht="15.75">
      <c r="A34" s="1" t="s">
        <v>32</v>
      </c>
      <c r="B34" s="1" t="s">
        <v>67</v>
      </c>
      <c r="C34" s="35">
        <f>Bus_Bar!C2+C33</f>
        <v>0.055</v>
      </c>
      <c r="D34" s="46"/>
      <c r="E34" s="46"/>
    </row>
    <row r="35" spans="1:3" ht="15.75">
      <c r="A35" s="1" t="s">
        <v>234</v>
      </c>
      <c r="B35" s="1" t="s">
        <v>67</v>
      </c>
      <c r="C35" s="35">
        <f>SQRT(Bus_Bar!C2*Bus_Bar!C3)/PI()</f>
        <v>0.022507907903927656</v>
      </c>
    </row>
    <row r="36" spans="1:3" ht="15.75">
      <c r="A36" s="1" t="s">
        <v>235</v>
      </c>
      <c r="B36" s="1" t="s">
        <v>67</v>
      </c>
      <c r="C36" s="34">
        <f>Bus_Bar!C13</f>
        <v>30.333333333333332</v>
      </c>
    </row>
    <row r="37" spans="1:4" ht="15.75">
      <c r="A37" s="1" t="s">
        <v>38</v>
      </c>
      <c r="B37" s="1" t="s">
        <v>116</v>
      </c>
      <c r="C37" s="14">
        <f>4*PI()*0.0000001*C36/PI()*LN(C34/C35+1/4-C34/C36)</f>
        <v>1.2014425116524491E-05</v>
      </c>
      <c r="D37" s="2" t="s">
        <v>40</v>
      </c>
    </row>
    <row r="38" spans="1:3" ht="15.75">
      <c r="A38" s="34" t="s">
        <v>37</v>
      </c>
      <c r="B38" s="34"/>
      <c r="C38" s="34">
        <f>Bus_Bar!C8</f>
        <v>2</v>
      </c>
    </row>
    <row r="39" spans="1:3" ht="15.75">
      <c r="A39" s="1" t="s">
        <v>236</v>
      </c>
      <c r="B39" s="1" t="s">
        <v>116</v>
      </c>
      <c r="C39" s="14">
        <f>C37/C38</f>
        <v>6.0072125582622455E-06</v>
      </c>
    </row>
    <row r="40" spans="1:3" ht="15.75">
      <c r="A40" s="49"/>
      <c r="B40" s="49"/>
      <c r="C40" s="5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7" sqref="C7"/>
    </sheetView>
  </sheetViews>
  <sheetFormatPr defaultColWidth="11.00390625" defaultRowHeight="12.75"/>
  <cols>
    <col min="1" max="1" width="48.75390625" style="0" customWidth="1"/>
    <col min="2" max="2" width="17.75390625" style="0" customWidth="1"/>
  </cols>
  <sheetData>
    <row r="1" spans="1:3" ht="15.75">
      <c r="A1" s="1" t="s">
        <v>41</v>
      </c>
      <c r="B1" s="1" t="s">
        <v>151</v>
      </c>
      <c r="C1" s="14">
        <f>Coil!C100</f>
        <v>0.0025672554047196706</v>
      </c>
    </row>
    <row r="2" spans="1:4" ht="15.75">
      <c r="A2" s="1" t="s">
        <v>42</v>
      </c>
      <c r="B2" s="1" t="s">
        <v>116</v>
      </c>
      <c r="C2" s="14">
        <f>MAX(Inductances!C9:E9)</f>
        <v>0.00023155965397785377</v>
      </c>
      <c r="D2" s="48"/>
    </row>
    <row r="3" spans="1:3" ht="15.75">
      <c r="A3" s="1" t="s">
        <v>43</v>
      </c>
      <c r="B3" s="1" t="s">
        <v>151</v>
      </c>
      <c r="C3" s="14">
        <f>Bus_Bar!C82*Bus_Bar!C77</f>
        <v>0.00012227042824932116</v>
      </c>
    </row>
    <row r="4" spans="1:3" ht="15.75">
      <c r="A4" s="1" t="s">
        <v>44</v>
      </c>
      <c r="B4" s="1" t="s">
        <v>116</v>
      </c>
      <c r="C4" s="14">
        <f>Inductances!C39*Bus_Bar!C82/2</f>
        <v>6.0072125582622455E-06</v>
      </c>
    </row>
    <row r="5" spans="1:3" ht="15.75">
      <c r="A5" s="1" t="s">
        <v>230</v>
      </c>
      <c r="B5" s="1" t="s">
        <v>151</v>
      </c>
      <c r="C5" s="14">
        <f>C1+C3</f>
        <v>0.002689525832968992</v>
      </c>
    </row>
    <row r="6" spans="1:3" ht="15.75">
      <c r="A6" s="1" t="s">
        <v>231</v>
      </c>
      <c r="B6" s="1" t="s">
        <v>116</v>
      </c>
      <c r="C6" s="14">
        <f>C2+C4</f>
        <v>0.000237566866536116</v>
      </c>
    </row>
    <row r="7" spans="1:3" ht="15.75">
      <c r="A7" s="1" t="s">
        <v>232</v>
      </c>
      <c r="B7" s="1" t="s">
        <v>51</v>
      </c>
      <c r="C7" s="34">
        <f>Coil!C39</f>
        <v>15000</v>
      </c>
    </row>
    <row r="8" spans="1:3" ht="15.75">
      <c r="A8" s="44" t="s">
        <v>99</v>
      </c>
      <c r="B8" s="1"/>
      <c r="C8" s="34"/>
    </row>
    <row r="9" spans="1:3" ht="15.75">
      <c r="A9" s="1" t="s">
        <v>52</v>
      </c>
      <c r="B9" s="1" t="s">
        <v>96</v>
      </c>
      <c r="C9" s="1">
        <v>5</v>
      </c>
    </row>
    <row r="10" spans="1:3" ht="15.75">
      <c r="A10" s="1" t="s">
        <v>53</v>
      </c>
      <c r="B10" s="1" t="s">
        <v>151</v>
      </c>
      <c r="C10" s="14">
        <f>2*PI()*C9*C6</f>
        <v>0.007463383226462089</v>
      </c>
    </row>
    <row r="11" spans="1:3" ht="15.75">
      <c r="A11" s="1" t="s">
        <v>54</v>
      </c>
      <c r="B11" s="1" t="s">
        <v>151</v>
      </c>
      <c r="C11" s="14">
        <f>SQRT(C5^2+C10^2)</f>
        <v>0.007933198496901689</v>
      </c>
    </row>
    <row r="12" spans="1:3" ht="15.75">
      <c r="A12" s="1" t="s">
        <v>161</v>
      </c>
      <c r="B12" s="1"/>
      <c r="C12" s="36">
        <f>C5/C11</f>
        <v>0.3390216233741518</v>
      </c>
    </row>
    <row r="13" spans="1:3" ht="15.75">
      <c r="A13" s="1" t="s">
        <v>124</v>
      </c>
      <c r="B13" s="1"/>
      <c r="C13" s="34">
        <f>ACOS(C12)*180/PI()</f>
        <v>70.18272270504896</v>
      </c>
    </row>
    <row r="14" spans="1:3" ht="15.75">
      <c r="A14" s="1" t="s">
        <v>94</v>
      </c>
      <c r="B14" s="1" t="s">
        <v>95</v>
      </c>
      <c r="C14" s="34">
        <f>C7*C11</f>
        <v>118.99797745352534</v>
      </c>
    </row>
    <row r="15" spans="1:3" ht="15.75">
      <c r="A15" s="1" t="s">
        <v>125</v>
      </c>
      <c r="B15" s="1" t="s">
        <v>51</v>
      </c>
      <c r="C15" s="34">
        <f>C7*COS(C13*PI()/180)</f>
        <v>5085.324350612276</v>
      </c>
    </row>
    <row r="16" spans="1:3" ht="15.75">
      <c r="A16" s="1" t="s">
        <v>126</v>
      </c>
      <c r="B16" s="1"/>
      <c r="C16" s="36">
        <v>0.2</v>
      </c>
    </row>
    <row r="17" spans="1:3" ht="15.75">
      <c r="A17" s="1" t="s">
        <v>127</v>
      </c>
      <c r="B17" s="1"/>
      <c r="C17" s="36">
        <f>C15/C7*C16</f>
        <v>0.06780432467483036</v>
      </c>
    </row>
    <row r="18" spans="1:3" ht="15.75">
      <c r="A18" s="1" t="s">
        <v>21</v>
      </c>
      <c r="B18" s="1"/>
      <c r="C18" s="34">
        <f>C14/(1-C17)</f>
        <v>127.65343221745404</v>
      </c>
    </row>
    <row r="19" spans="1:3" ht="15.75">
      <c r="A19" s="1" t="s">
        <v>22</v>
      </c>
      <c r="B19" s="1"/>
      <c r="C19" s="51">
        <v>180</v>
      </c>
    </row>
    <row r="20" spans="1:3" ht="15.75">
      <c r="A20" s="1" t="s">
        <v>97</v>
      </c>
      <c r="B20" s="1" t="s">
        <v>98</v>
      </c>
      <c r="C20" s="14">
        <f>(C7/SQRT(2))^2*C5</f>
        <v>302571.65620901156</v>
      </c>
    </row>
    <row r="21" spans="1:3" ht="15.75">
      <c r="A21" s="1" t="s">
        <v>119</v>
      </c>
      <c r="B21" s="1" t="s">
        <v>122</v>
      </c>
      <c r="C21" s="14">
        <f>C19*SQRT(2)*C7/SQRT(2)</f>
        <v>2699999.9999999995</v>
      </c>
    </row>
    <row r="22" spans="1:3" ht="15.75">
      <c r="A22" s="1" t="s">
        <v>120</v>
      </c>
      <c r="B22" s="1" t="s">
        <v>121</v>
      </c>
      <c r="C22" s="14">
        <f>SQRT(C21^2-C20^2)</f>
        <v>2682992.805219375</v>
      </c>
    </row>
    <row r="23" spans="1:3" ht="15.75">
      <c r="A23" s="1" t="s">
        <v>162</v>
      </c>
      <c r="B23" s="1"/>
      <c r="C23" s="36">
        <f>C20/C21</f>
        <v>0.11206357637370801</v>
      </c>
    </row>
    <row r="24" spans="1:3" ht="15.75">
      <c r="A24" s="44" t="s">
        <v>123</v>
      </c>
      <c r="B24" s="1"/>
      <c r="C24" s="1"/>
    </row>
    <row r="25" spans="1:3" ht="15.75">
      <c r="A25" s="1" t="s">
        <v>94</v>
      </c>
      <c r="B25" s="1" t="s">
        <v>95</v>
      </c>
      <c r="C25" s="34">
        <f>C7*C5</f>
        <v>40.34288749453488</v>
      </c>
    </row>
    <row r="26" spans="1:3" ht="15.75">
      <c r="A26" s="1" t="s">
        <v>97</v>
      </c>
      <c r="B26" s="1" t="s">
        <v>98</v>
      </c>
      <c r="C26" s="14">
        <f>C7^2*C5</f>
        <v>605143.3124180231</v>
      </c>
    </row>
    <row r="27" spans="1:3" ht="15.75">
      <c r="A27" s="1" t="s">
        <v>119</v>
      </c>
      <c r="B27" s="1" t="s">
        <v>122</v>
      </c>
      <c r="C27" s="14">
        <f>C19*C7</f>
        <v>2700000</v>
      </c>
    </row>
    <row r="28" spans="1:3" ht="15.75">
      <c r="A28" s="1" t="s">
        <v>120</v>
      </c>
      <c r="B28" s="1" t="s">
        <v>121</v>
      </c>
      <c r="C28" s="14">
        <f>SQRT(C27^2-C26^2)</f>
        <v>2631311.758692942</v>
      </c>
    </row>
    <row r="29" spans="1:3" ht="15.75">
      <c r="A29" s="1" t="s">
        <v>162</v>
      </c>
      <c r="B29" s="1"/>
      <c r="C29" s="36">
        <f>C26/C27</f>
        <v>0.22412715274741596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4"/>
  <sheetViews>
    <sheetView tabSelected="1" workbookViewId="0" topLeftCell="A32">
      <pane ySplit="4140" topLeftCell="BM71" activePane="bottomLeft" state="split"/>
      <selection pane="topLeft" activeCell="A69" sqref="A69"/>
      <selection pane="bottomLeft" activeCell="C114" sqref="B106:C114"/>
    </sheetView>
  </sheetViews>
  <sheetFormatPr defaultColWidth="11.00390625" defaultRowHeight="12.75"/>
  <cols>
    <col min="1" max="1" width="78.75390625" style="2" customWidth="1"/>
    <col min="2" max="2" width="23.875" style="16" customWidth="1"/>
    <col min="3" max="3" width="13.625" style="16" bestFit="1" customWidth="1"/>
    <col min="4" max="16384" width="10.75390625" style="2" customWidth="1"/>
  </cols>
  <sheetData>
    <row r="1" spans="1:3" ht="16.5" thickBot="1">
      <c r="A1" s="79" t="s">
        <v>250</v>
      </c>
      <c r="B1" s="80"/>
      <c r="C1" s="81"/>
    </row>
    <row r="2" spans="1:3" ht="15.75">
      <c r="A2" s="53" t="str">
        <f>Coil!A1</f>
        <v>Conductor pack width</v>
      </c>
      <c r="B2" s="62" t="str">
        <f>Coil!B1</f>
        <v>m</v>
      </c>
      <c r="C2" s="56">
        <f>Coil!C1</f>
        <v>0.123</v>
      </c>
    </row>
    <row r="3" spans="1:3" ht="15.75">
      <c r="A3" s="54" t="str">
        <f>Coil!A2</f>
        <v>Conductor pack height</v>
      </c>
      <c r="B3" s="63" t="str">
        <f>Coil!B2</f>
        <v>m</v>
      </c>
      <c r="C3" s="57">
        <f>Coil!C2</f>
        <v>0.176</v>
      </c>
    </row>
    <row r="4" spans="1:3" ht="15.75">
      <c r="A4" s="54" t="str">
        <f>Coil!E20</f>
        <v>Jacket OD</v>
      </c>
      <c r="B4" s="63" t="str">
        <f>Coil!F20</f>
        <v>mm</v>
      </c>
      <c r="C4" s="58">
        <f>Coil!G20</f>
        <v>54</v>
      </c>
    </row>
    <row r="5" spans="1:3" ht="15.75">
      <c r="A5" s="54" t="str">
        <f>Coil!E21</f>
        <v>Jacket thickness</v>
      </c>
      <c r="B5" s="63" t="str">
        <f>Coil!F21</f>
        <v>mm</v>
      </c>
      <c r="C5" s="58">
        <f>Coil!G21</f>
        <v>2</v>
      </c>
    </row>
    <row r="6" spans="1:3" ht="15.75">
      <c r="A6" s="54" t="str">
        <f>Coil!E22</f>
        <v>Insulation thickness</v>
      </c>
      <c r="B6" s="63" t="str">
        <f>Coil!F22</f>
        <v>mm</v>
      </c>
      <c r="C6" s="58">
        <f>Coil!G22</f>
        <v>2.5</v>
      </c>
    </row>
    <row r="7" spans="1:3" ht="15.75">
      <c r="A7" s="54" t="str">
        <f>Coil!E23</f>
        <v>Conductor OD</v>
      </c>
      <c r="B7" s="63" t="str">
        <f>Coil!F23</f>
        <v>mm</v>
      </c>
      <c r="C7" s="58">
        <f>Coil!G23</f>
        <v>45</v>
      </c>
    </row>
    <row r="8" spans="1:3" ht="15.75">
      <c r="A8" s="54" t="str">
        <f>Coil!E24</f>
        <v>Conductor ID</v>
      </c>
      <c r="B8" s="63" t="str">
        <f>Coil!F24</f>
        <v>mm</v>
      </c>
      <c r="C8" s="58">
        <f>Coil!G24</f>
        <v>30</v>
      </c>
    </row>
    <row r="9" spans="1:3" ht="15.75">
      <c r="A9" s="54" t="str">
        <f>Coil!E25</f>
        <v>Conductor length per turn</v>
      </c>
      <c r="B9" s="63" t="str">
        <f>Coil!F25</f>
        <v>m</v>
      </c>
      <c r="C9" s="58">
        <f>Coil!G25</f>
        <v>10.885061831820686</v>
      </c>
    </row>
    <row r="10" spans="1:3" ht="15.75">
      <c r="A10" s="54" t="str">
        <f>Coil!E26</f>
        <v>Feeder length per pole</v>
      </c>
      <c r="B10" s="63" t="str">
        <f>Coil!F26</f>
        <v>m</v>
      </c>
      <c r="C10" s="58">
        <f>Coil!G26</f>
        <v>14</v>
      </c>
    </row>
    <row r="11" spans="1:3" ht="15.75">
      <c r="A11" s="54" t="str">
        <f>Coil!E27</f>
        <v>#Sub-circuits</v>
      </c>
      <c r="B11" s="63"/>
      <c r="C11" s="57">
        <f>Coil!G27</f>
        <v>1</v>
      </c>
    </row>
    <row r="12" spans="1:3" ht="15.75">
      <c r="A12" s="54" t="str">
        <f>Coil!E28</f>
        <v>#Turns per sub-circuit</v>
      </c>
      <c r="B12" s="63"/>
      <c r="C12" s="57">
        <f>Coil!G28</f>
        <v>6</v>
      </c>
    </row>
    <row r="13" spans="1:3" ht="15.75">
      <c r="A13" s="54" t="str">
        <f>Coil!E29</f>
        <v>Total conductor length per sub-circuit</v>
      </c>
      <c r="B13" s="63" t="str">
        <f>Coil!F29</f>
        <v>m</v>
      </c>
      <c r="C13" s="58">
        <f>Coil!G29</f>
        <v>93.31037099092411</v>
      </c>
    </row>
    <row r="14" spans="1:3" ht="15.75">
      <c r="A14" s="54" t="str">
        <f>Coil!E31</f>
        <v>#Sub-circuits in series hydraulically</v>
      </c>
      <c r="B14" s="63"/>
      <c r="C14" s="57">
        <f>Coil!G31</f>
        <v>1</v>
      </c>
    </row>
    <row r="15" spans="1:3" ht="15.75">
      <c r="A15" s="54" t="str">
        <f>Coil!E32</f>
        <v>#Sub-circuits in parallel hydraulically</v>
      </c>
      <c r="B15" s="63"/>
      <c r="C15" s="57">
        <f>Coil!G32</f>
        <v>1</v>
      </c>
    </row>
    <row r="16" spans="1:3" ht="15.75">
      <c r="A16" s="54" t="str">
        <f>Coil!E33</f>
        <v>#Sub-circuits in series electrically</v>
      </c>
      <c r="B16" s="63"/>
      <c r="C16" s="57">
        <f>Coil!G33</f>
        <v>1</v>
      </c>
    </row>
    <row r="17" spans="1:3" ht="15.75">
      <c r="A17" s="54" t="str">
        <f>Coil!E34</f>
        <v>#Sub-circuits in parallel electrically</v>
      </c>
      <c r="B17" s="63"/>
      <c r="C17" s="57">
        <f>Coil!G34</f>
        <v>1</v>
      </c>
    </row>
    <row r="18" spans="1:3" ht="15.75">
      <c r="A18" s="54" t="str">
        <f>Coil!E35</f>
        <v>Base total current</v>
      </c>
      <c r="B18" s="63" t="str">
        <f>Coil!F35</f>
        <v>Amp-turn rms</v>
      </c>
      <c r="C18" s="57">
        <f>Coil!G35</f>
        <v>90000</v>
      </c>
    </row>
    <row r="19" spans="1:3" ht="15.75">
      <c r="A19" s="54" t="str">
        <f>Coil!E36</f>
        <v>#Turns effective</v>
      </c>
      <c r="B19" s="63"/>
      <c r="C19" s="57">
        <f>Coil!G36</f>
        <v>6</v>
      </c>
    </row>
    <row r="20" spans="1:3" ht="15.75">
      <c r="A20" s="54" t="str">
        <f>Coil!E37</f>
        <v>Per unit current</v>
      </c>
      <c r="B20" s="63" t="s">
        <v>56</v>
      </c>
      <c r="C20" s="59">
        <f>Coil!G37</f>
        <v>1</v>
      </c>
    </row>
    <row r="21" spans="1:3" ht="15.75">
      <c r="A21" s="54" t="str">
        <f>Coil!E38</f>
        <v>Current per turn effective</v>
      </c>
      <c r="B21" s="63" t="str">
        <f>Coil!F38</f>
        <v>Amp rms</v>
      </c>
      <c r="C21" s="60">
        <f>Coil!G38</f>
        <v>15000</v>
      </c>
    </row>
    <row r="22" spans="1:3" ht="15.75">
      <c r="A22" s="54" t="str">
        <f>Coil!E39</f>
        <v>Current per sub-circuit</v>
      </c>
      <c r="B22" s="63" t="str">
        <f>Coil!F39</f>
        <v>Amp rms</v>
      </c>
      <c r="C22" s="60">
        <f>Coil!G39</f>
        <v>15000</v>
      </c>
    </row>
    <row r="23" spans="1:3" ht="15.75">
      <c r="A23" s="54" t="str">
        <f>Coil!E40</f>
        <v>Net series/parallel circuit resistance at 20C</v>
      </c>
      <c r="B23" s="63" t="str">
        <f>Coil!F40</f>
        <v>mOhm</v>
      </c>
      <c r="C23" s="82">
        <f>Coil!G40</f>
        <v>1.820748513985582</v>
      </c>
    </row>
    <row r="24" spans="1:3" ht="15.75">
      <c r="A24" s="54" t="str">
        <f>Coil!E41</f>
        <v>Flow velocity</v>
      </c>
      <c r="B24" s="63" t="str">
        <f>Coil!F41</f>
        <v>m/s</v>
      </c>
      <c r="C24" s="58">
        <f>Coil!G41</f>
        <v>6.066028816165127</v>
      </c>
    </row>
    <row r="25" spans="1:3" ht="15.75">
      <c r="A25" s="54" t="str">
        <f>Coil!E42</f>
        <v>Water Inlet Temperature</v>
      </c>
      <c r="B25" s="63" t="str">
        <f>Coil!F42</f>
        <v>deg C</v>
      </c>
      <c r="C25" s="57">
        <f>Coil!G42</f>
        <v>100</v>
      </c>
    </row>
    <row r="26" spans="1:3" ht="15.75">
      <c r="A26" s="54" t="str">
        <f>Coil!E43</f>
        <v>delta_T</v>
      </c>
      <c r="B26" s="63" t="str">
        <f>Coil!F43</f>
        <v>deg C</v>
      </c>
      <c r="C26" s="60">
        <f>Coil!G43</f>
        <v>39.99960605850948</v>
      </c>
    </row>
    <row r="27" spans="1:3" ht="15.75">
      <c r="A27" s="54" t="str">
        <f>Coil!E44</f>
        <v>Net series/parallel circuit resistance at average resistivity</v>
      </c>
      <c r="B27" s="63" t="str">
        <f>Coil!F44</f>
        <v>mOhm</v>
      </c>
      <c r="C27" s="82">
        <f>Coil!G44</f>
        <v>2.5672554047196705</v>
      </c>
    </row>
    <row r="28" spans="1:3" ht="15.75">
      <c r="A28" s="54" t="str">
        <f>Coil!E45</f>
        <v>Total ohmic dissipation</v>
      </c>
      <c r="B28" s="63" t="str">
        <f>Coil!F45</f>
        <v>kW</v>
      </c>
      <c r="C28" s="60">
        <f>Coil!G45</f>
        <v>577.6324660619258</v>
      </c>
    </row>
    <row r="29" spans="1:3" ht="15.75">
      <c r="A29" s="54" t="str">
        <f>Coil!E46</f>
        <v>Volumetric nuclear heating rate</v>
      </c>
      <c r="B29" s="63" t="str">
        <f>Coil!F46</f>
        <v>watt/cc</v>
      </c>
      <c r="C29" s="57">
        <f>Coil!G46</f>
        <v>0.5</v>
      </c>
    </row>
    <row r="30" spans="1:3" ht="15.75">
      <c r="A30" s="54" t="str">
        <f>Coil!E47</f>
        <v>Total metallic area</v>
      </c>
      <c r="B30" s="63" t="str">
        <f>Coil!F47</f>
        <v>m2</v>
      </c>
      <c r="C30" s="61">
        <f>Coil!G47</f>
        <v>0.015168465151971048</v>
      </c>
    </row>
    <row r="31" spans="1:3" ht="15.75">
      <c r="A31" s="54" t="str">
        <f>Coil!E48</f>
        <v>Total metallic volume</v>
      </c>
      <c r="B31" s="63" t="str">
        <f>Coil!F48</f>
        <v>m3</v>
      </c>
      <c r="C31" s="61">
        <f>Coil!G48</f>
        <v>0.1651096810730222</v>
      </c>
    </row>
    <row r="32" spans="1:3" ht="15.75">
      <c r="A32" s="54" t="str">
        <f>Coil!E49</f>
        <v>Total nuclear heating</v>
      </c>
      <c r="B32" s="63" t="str">
        <f>Coil!F49</f>
        <v>kW</v>
      </c>
      <c r="C32" s="60">
        <f>Coil!G49</f>
        <v>82.55484053651111</v>
      </c>
    </row>
    <row r="33" spans="1:3" ht="15.75">
      <c r="A33" s="54" t="str">
        <f>Coil!E50</f>
        <v>Total heat load</v>
      </c>
      <c r="B33" s="63" t="str">
        <f>Coil!F50</f>
        <v>Watt</v>
      </c>
      <c r="C33" s="60">
        <f>Coil!G50</f>
        <v>660.187306598437</v>
      </c>
    </row>
    <row r="34" spans="1:3" ht="15.75">
      <c r="A34" s="54" t="str">
        <f>Coil!E51</f>
        <v>Heat load per hydraulic circuit</v>
      </c>
      <c r="B34" s="63" t="str">
        <f>Coil!F51</f>
        <v>Watt</v>
      </c>
      <c r="C34" s="60">
        <f>Coil!G51</f>
        <v>660.187306598437</v>
      </c>
    </row>
    <row r="35" spans="1:3" ht="15.75">
      <c r="A35" s="54" t="str">
        <f>Coil!E52</f>
        <v>delta_T</v>
      </c>
      <c r="B35" s="63" t="str">
        <f>Coil!F52</f>
        <v>deg C</v>
      </c>
      <c r="C35" s="60">
        <f>Coil!G52</f>
        <v>39.99960605850948</v>
      </c>
    </row>
    <row r="36" spans="1:3" ht="15.75">
      <c r="A36" s="54" t="str">
        <f>Coil!E53</f>
        <v>Maximum temperature</v>
      </c>
      <c r="B36" s="63" t="str">
        <f>Coil!F53</f>
        <v>deg C</v>
      </c>
      <c r="C36" s="60">
        <f>Coil!G53</f>
        <v>139.99960605850947</v>
      </c>
    </row>
    <row r="37" spans="1:3" ht="15.75">
      <c r="A37" s="54" t="str">
        <f>Coil!E54</f>
        <v>delta_T/sec (LOCW)</v>
      </c>
      <c r="B37" s="63" t="str">
        <f>Coil!F54</f>
        <v>degC/sec</v>
      </c>
      <c r="C37" s="58">
        <f>Coil!G54</f>
        <v>2.214575288669028</v>
      </c>
    </row>
    <row r="38" spans="1:3" ht="15.75">
      <c r="A38" s="54" t="str">
        <f>Coil!E55</f>
        <v>Total Pressure Drop</v>
      </c>
      <c r="B38" s="63" t="str">
        <f>Coil!F55</f>
        <v>MPA</v>
      </c>
      <c r="C38" s="59">
        <f>Coil!G55</f>
        <v>0.7393488680229009</v>
      </c>
    </row>
    <row r="39" spans="1:3" ht="15.75">
      <c r="A39" s="54" t="str">
        <f>Coil!E57</f>
        <v>Return pressure</v>
      </c>
      <c r="B39" s="63" t="str">
        <f>Coil!F57</f>
        <v>MPA</v>
      </c>
      <c r="C39" s="59">
        <f>Coil!G57</f>
        <v>0.7178839968235748</v>
      </c>
    </row>
    <row r="40" spans="1:3" ht="16.5" thickBot="1">
      <c r="A40" s="55" t="str">
        <f>Coil!E58</f>
        <v>Inlet pressure</v>
      </c>
      <c r="B40" s="64" t="str">
        <f>Coil!F58</f>
        <v>MPA</v>
      </c>
      <c r="C40" s="83">
        <f>Coil!G58</f>
        <v>1.4572328648464756</v>
      </c>
    </row>
    <row r="41" spans="1:3" ht="16.5" thickBot="1">
      <c r="A41" s="75" t="s">
        <v>251</v>
      </c>
      <c r="B41" s="65"/>
      <c r="C41" s="76"/>
    </row>
    <row r="42" spans="1:3" ht="15.75">
      <c r="A42" s="53" t="str">
        <f>Bus_Bar!E2</f>
        <v>Conductor width</v>
      </c>
      <c r="B42" s="62" t="str">
        <f>Bus_Bar!F2</f>
        <v>m</v>
      </c>
      <c r="C42" s="66">
        <f>Bus_Bar!G2</f>
        <v>0.05</v>
      </c>
    </row>
    <row r="43" spans="1:3" ht="15.75">
      <c r="A43" s="54" t="str">
        <f>Bus_Bar!E3</f>
        <v>Conductor height</v>
      </c>
      <c r="B43" s="63" t="str">
        <f>Bus_Bar!F3</f>
        <v>m</v>
      </c>
      <c r="C43" s="67">
        <f>Bus_Bar!G3</f>
        <v>0.1</v>
      </c>
    </row>
    <row r="44" spans="1:3" ht="15.75">
      <c r="A44" s="54" t="str">
        <f>Bus_Bar!E4</f>
        <v>Cooling hole diameter</v>
      </c>
      <c r="B44" s="63" t="str">
        <f>Bus_Bar!F4</f>
        <v>m</v>
      </c>
      <c r="C44" s="67">
        <f>Bus_Bar!G4</f>
        <v>0.0175</v>
      </c>
    </row>
    <row r="45" spans="1:3" ht="15.75">
      <c r="A45" s="54" t="str">
        <f>Bus_Bar!E6</f>
        <v>Current</v>
      </c>
      <c r="B45" s="63" t="str">
        <f>Bus_Bar!F6</f>
        <v>Amp rms</v>
      </c>
      <c r="C45" s="68">
        <f>Bus_Bar!G6</f>
        <v>15000</v>
      </c>
    </row>
    <row r="46" spans="1:3" ht="15.75">
      <c r="A46" s="54" t="str">
        <f>Bus_Bar!E7</f>
        <v>Avg conductor length per pole</v>
      </c>
      <c r="B46" s="63" t="str">
        <f>Bus_Bar!F7</f>
        <v>m</v>
      </c>
      <c r="C46" s="68">
        <f>Bus_Bar!G7</f>
        <v>30.333333333333332</v>
      </c>
    </row>
    <row r="47" spans="1:3" ht="15.75">
      <c r="A47" s="54" t="str">
        <f>Bus_Bar!E8</f>
        <v>#Conductor in parallel electrically and hydraulically per pole</v>
      </c>
      <c r="B47" s="63"/>
      <c r="C47" s="68">
        <f>Bus_Bar!G8</f>
        <v>2</v>
      </c>
    </row>
    <row r="48" spans="1:3" ht="15.75">
      <c r="A48" s="54" t="str">
        <f>Bus_Bar!E9</f>
        <v>Resistance per pole at 20C</v>
      </c>
      <c r="B48" s="63" t="str">
        <f>Bus_Bar!F9</f>
        <v>mOhm</v>
      </c>
      <c r="C48" s="69">
        <f>Bus_Bar!G9</f>
        <v>0.05494065524570711</v>
      </c>
    </row>
    <row r="49" spans="1:3" ht="15.75">
      <c r="A49" s="54" t="str">
        <f>Bus_Bar!E10</f>
        <v>Flow velocity</v>
      </c>
      <c r="B49" s="63" t="str">
        <f>Bus_Bar!F10</f>
        <v>m/s</v>
      </c>
      <c r="C49" s="70">
        <f>Bus_Bar!G10</f>
        <v>2.7800854959348955</v>
      </c>
    </row>
    <row r="50" spans="1:3" ht="15.75">
      <c r="A50" s="54" t="str">
        <f>Bus_Bar!E11</f>
        <v>Flow per conductor</v>
      </c>
      <c r="B50" s="63" t="str">
        <f>Bus_Bar!F11</f>
        <v>m3/s</v>
      </c>
      <c r="C50" s="61">
        <f>Bus_Bar!G11</f>
        <v>0.0006686889255447651</v>
      </c>
    </row>
    <row r="51" spans="1:3" ht="15.75">
      <c r="A51" s="54" t="str">
        <f>Bus_Bar!E12</f>
        <v>Mass flow per conductor</v>
      </c>
      <c r="B51" s="63" t="str">
        <f>Bus_Bar!F12</f>
        <v>kg/s</v>
      </c>
      <c r="C51" s="59">
        <f>Bus_Bar!G12</f>
        <v>0.6608218615318294</v>
      </c>
    </row>
    <row r="52" spans="1:3" ht="15.75">
      <c r="A52" s="54" t="str">
        <f>Bus_Bar!E13</f>
        <v>#Poles in series hydraulically</v>
      </c>
      <c r="B52" s="63"/>
      <c r="C52" s="68">
        <f>Bus_Bar!G13</f>
        <v>2</v>
      </c>
    </row>
    <row r="53" spans="1:3" ht="15.75">
      <c r="A53" s="54" t="str">
        <f>Bus_Bar!E14</f>
        <v>Hydraulic path delta_P</v>
      </c>
      <c r="B53" s="63" t="str">
        <f>Bus_Bar!F14</f>
        <v>MPA</v>
      </c>
      <c r="C53" s="71">
        <f>Bus_Bar!G14</f>
        <v>0.24741393336659423</v>
      </c>
    </row>
    <row r="54" spans="1:3" ht="15.75">
      <c r="A54" s="54" t="str">
        <f>Bus_Bar!E15</f>
        <v>Return pressure</v>
      </c>
      <c r="B54" s="63" t="str">
        <f>Bus_Bar!F15</f>
        <v>MPA</v>
      </c>
      <c r="C54" s="71">
        <f>Bus_Bar!G15</f>
        <v>0.024609690409299414</v>
      </c>
    </row>
    <row r="55" spans="1:3" ht="15.75">
      <c r="A55" s="54" t="str">
        <f>Bus_Bar!E16</f>
        <v>Inlet pressure</v>
      </c>
      <c r="B55" s="63" t="str">
        <f>Bus_Bar!F16</f>
        <v>MPA</v>
      </c>
      <c r="C55" s="71">
        <f>Bus_Bar!G16</f>
        <v>0.3754449829810406</v>
      </c>
    </row>
    <row r="56" spans="1:3" ht="15.75">
      <c r="A56" s="54" t="str">
        <f>Bus_Bar!E17</f>
        <v>Water Inlet Temperature</v>
      </c>
      <c r="B56" s="63" t="str">
        <f>Bus_Bar!F17</f>
        <v>deg C</v>
      </c>
      <c r="C56" s="72">
        <f>Bus_Bar!G17</f>
        <v>45</v>
      </c>
    </row>
    <row r="57" spans="1:3" ht="15.75">
      <c r="A57" s="54" t="str">
        <f>Bus_Bar!E18</f>
        <v>Water delta_T</v>
      </c>
      <c r="B57" s="63" t="str">
        <f>Bus_Bar!F18</f>
        <v>deg C</v>
      </c>
      <c r="C57" s="68">
        <f>Bus_Bar!G18</f>
        <v>4.999988741814631</v>
      </c>
    </row>
    <row r="58" spans="1:3" ht="15.75">
      <c r="A58" s="54" t="str">
        <f>Bus_Bar!E19</f>
        <v>Resistance per pole at average temperature</v>
      </c>
      <c r="B58" s="63" t="str">
        <f>Bus_Bar!F19</f>
        <v>mOhm</v>
      </c>
      <c r="C58" s="69">
        <f>Bus_Bar!G19</f>
        <v>0.06113521412466058</v>
      </c>
    </row>
    <row r="59" spans="1:3" ht="15.75">
      <c r="A59" s="54" t="str">
        <f>Bus_Bar!E20</f>
        <v>Ohmic dissipation per pole</v>
      </c>
      <c r="B59" s="63" t="str">
        <f>Bus_Bar!F20</f>
        <v>kW</v>
      </c>
      <c r="C59" s="68">
        <f>Bus_Bar!G20</f>
        <v>13.75542317804863</v>
      </c>
    </row>
    <row r="60" spans="1:3" ht="15.75">
      <c r="A60" s="54" t="str">
        <f>Bus_Bar!E21</f>
        <v>Ohmic dissipation per unit length</v>
      </c>
      <c r="B60" s="63" t="str">
        <f>Bus_Bar!F21</f>
        <v>kW/m</v>
      </c>
      <c r="C60" s="71">
        <f>Bus_Bar!G21</f>
        <v>0.4534754893862186</v>
      </c>
    </row>
    <row r="61" spans="1:3" ht="15.75">
      <c r="A61" s="54" t="str">
        <f>Bus_Bar!E22</f>
        <v>Total # bus bar poles</v>
      </c>
      <c r="B61" s="63"/>
      <c r="C61" s="68">
        <f>Bus_Bar!G22</f>
        <v>2</v>
      </c>
    </row>
    <row r="62" spans="1:3" ht="15.75">
      <c r="A62" s="54" t="str">
        <f>Bus_Bar!E23</f>
        <v>Total ohmic dissipation, fraction of total coil + bus bar</v>
      </c>
      <c r="B62" s="63"/>
      <c r="C62" s="71">
        <f>Bus_Bar!G23</f>
        <v>0.04546170434598344</v>
      </c>
    </row>
    <row r="63" spans="1:3" ht="15.75">
      <c r="A63" s="54" t="str">
        <f>Bus_Bar!E24</f>
        <v>Total flow</v>
      </c>
      <c r="B63" s="63" t="str">
        <f>Bus_Bar!F24</f>
        <v>m3/s</v>
      </c>
      <c r="C63" s="61">
        <f>Bus_Bar!G24</f>
        <v>0.0026747557021790606</v>
      </c>
    </row>
    <row r="64" spans="1:3" ht="15.75">
      <c r="A64" s="54" t="str">
        <f>Bus_Bar!E25</f>
        <v>Total mass flow</v>
      </c>
      <c r="B64" s="63" t="str">
        <f>Bus_Bar!F25</f>
        <v>kg/s</v>
      </c>
      <c r="C64" s="58">
        <f>Bus_Bar!G25</f>
        <v>2.6432874461273177</v>
      </c>
    </row>
    <row r="65" spans="1:3" ht="15.75">
      <c r="A65" s="54" t="str">
        <f>Bus_Bar!E26</f>
        <v>Total bus bar resistance at 20C</v>
      </c>
      <c r="B65" s="63" t="str">
        <f>Bus_Bar!F26</f>
        <v>ohm</v>
      </c>
      <c r="C65" s="61">
        <f>Bus_Bar!G26</f>
        <v>0.00010988131049141422</v>
      </c>
    </row>
    <row r="66" spans="1:3" ht="15.75">
      <c r="A66" s="54" t="str">
        <f>Bus_Bar!E27</f>
        <v>Total bus bar resistance at average temperature</v>
      </c>
      <c r="B66" s="63" t="str">
        <f>Bus_Bar!F27</f>
        <v>ohm</v>
      </c>
      <c r="C66" s="61">
        <f>Bus_Bar!G27</f>
        <v>0.00012227042824932116</v>
      </c>
    </row>
    <row r="67" spans="1:3" ht="16.5" thickBot="1">
      <c r="A67" s="55" t="s">
        <v>115</v>
      </c>
      <c r="B67" s="64" t="s">
        <v>116</v>
      </c>
      <c r="C67" s="84">
        <f>Bus_Bar!G28</f>
        <v>0.0018207485139855818</v>
      </c>
    </row>
    <row r="68" spans="1:3" ht="16.5" thickBot="1">
      <c r="A68" s="75" t="s">
        <v>252</v>
      </c>
      <c r="B68" s="65"/>
      <c r="C68" s="77"/>
    </row>
    <row r="69" spans="1:3" ht="15.75">
      <c r="A69" s="53" t="str">
        <f>Circuit!A1</f>
        <v>Coil resistance</v>
      </c>
      <c r="B69" s="62" t="str">
        <f>Circuit!B1</f>
        <v>ohm</v>
      </c>
      <c r="C69" s="85">
        <f>Circuit!C1</f>
        <v>0.0025672554047196706</v>
      </c>
    </row>
    <row r="70" spans="1:3" ht="15.75">
      <c r="A70" s="54" t="str">
        <f>Circuit!A2</f>
        <v>Coil inductance</v>
      </c>
      <c r="B70" s="63" t="str">
        <f>Circuit!B2</f>
        <v>henry</v>
      </c>
      <c r="C70" s="61">
        <f>Circuit!C2</f>
        <v>0.00023155965397785377</v>
      </c>
    </row>
    <row r="71" spans="1:3" ht="15.75">
      <c r="A71" s="54" t="str">
        <f>Circuit!A3</f>
        <v>Bus bar resistance</v>
      </c>
      <c r="B71" s="63" t="str">
        <f>Circuit!B3</f>
        <v>ohm</v>
      </c>
      <c r="C71" s="61">
        <f>Circuit!C3</f>
        <v>0.00012227042824932116</v>
      </c>
    </row>
    <row r="72" spans="1:3" ht="15.75">
      <c r="A72" s="54" t="str">
        <f>Circuit!A4</f>
        <v>Bus bar inductance</v>
      </c>
      <c r="B72" s="63" t="str">
        <f>Circuit!B4</f>
        <v>henry</v>
      </c>
      <c r="C72" s="61">
        <f>Circuit!C4</f>
        <v>6.0072125582622455E-06</v>
      </c>
    </row>
    <row r="73" spans="1:3" ht="15.75">
      <c r="A73" s="54" t="str">
        <f>Circuit!A5</f>
        <v>Total circuit resistance</v>
      </c>
      <c r="B73" s="63" t="str">
        <f>Circuit!B5</f>
        <v>ohm</v>
      </c>
      <c r="C73" s="61">
        <f>Circuit!C5</f>
        <v>0.002689525832968992</v>
      </c>
    </row>
    <row r="74" spans="1:3" ht="15.75">
      <c r="A74" s="54" t="str">
        <f>Circuit!A6</f>
        <v>Total circuit inductance</v>
      </c>
      <c r="B74" s="63" t="str">
        <f>Circuit!B6</f>
        <v>henry</v>
      </c>
      <c r="C74" s="61">
        <f>Circuit!C6</f>
        <v>0.000237566866536116</v>
      </c>
    </row>
    <row r="75" spans="1:3" ht="16.5" thickBot="1">
      <c r="A75" s="55" t="str">
        <f>Circuit!A7</f>
        <v>Current per turn</v>
      </c>
      <c r="B75" s="64" t="str">
        <f>Circuit!B7</f>
        <v>amp</v>
      </c>
      <c r="C75" s="73">
        <f>Circuit!C7</f>
        <v>15000</v>
      </c>
    </row>
    <row r="76" spans="1:3" ht="16.5" thickBot="1">
      <c r="A76" s="75" t="str">
        <f>Circuit!A8</f>
        <v>AC Mode</v>
      </c>
      <c r="B76" s="65"/>
      <c r="C76" s="78"/>
    </row>
    <row r="77" spans="1:3" ht="15.75">
      <c r="A77" s="53" t="str">
        <f>Circuit!A9</f>
        <v>Frequency</v>
      </c>
      <c r="B77" s="62" t="str">
        <f>Circuit!B9</f>
        <v>Hz</v>
      </c>
      <c r="C77" s="56">
        <f>Circuit!C9</f>
        <v>5</v>
      </c>
    </row>
    <row r="78" spans="1:3" ht="15.75">
      <c r="A78" s="54" t="str">
        <f>Circuit!A10</f>
        <v>Inductive reactance</v>
      </c>
      <c r="B78" s="63" t="str">
        <f>Circuit!B10</f>
        <v>ohm</v>
      </c>
      <c r="C78" s="61">
        <f>Circuit!C10</f>
        <v>0.007463383226462089</v>
      </c>
    </row>
    <row r="79" spans="1:3" ht="15.75">
      <c r="A79" s="54" t="str">
        <f>Circuit!A11</f>
        <v>Complex impedance</v>
      </c>
      <c r="B79" s="63" t="str">
        <f>Circuit!B11</f>
        <v>ohm</v>
      </c>
      <c r="C79" s="61">
        <f>Circuit!C11</f>
        <v>0.007933198496901689</v>
      </c>
    </row>
    <row r="80" spans="1:3" ht="15.75">
      <c r="A80" s="54" t="str">
        <f>Circuit!A12</f>
        <v>Load power factor</v>
      </c>
      <c r="B80" s="63"/>
      <c r="C80" s="59">
        <f>Circuit!C12</f>
        <v>0.3390216233741518</v>
      </c>
    </row>
    <row r="81" spans="1:3" ht="15.75">
      <c r="A81" s="54" t="str">
        <f>Circuit!A13</f>
        <v>Phase angle</v>
      </c>
      <c r="B81" s="63"/>
      <c r="C81" s="60">
        <f>Circuit!C13</f>
        <v>70.18272270504896</v>
      </c>
    </row>
    <row r="82" spans="1:3" ht="15.75">
      <c r="A82" s="54" t="str">
        <f>Circuit!A14</f>
        <v>Voltage drop</v>
      </c>
      <c r="B82" s="63" t="str">
        <f>Circuit!B14</f>
        <v>volt</v>
      </c>
      <c r="C82" s="60">
        <f>Circuit!C14</f>
        <v>118.99797745352534</v>
      </c>
    </row>
    <row r="83" spans="1:3" ht="15.75">
      <c r="A83" s="54" t="str">
        <f>Circuit!A15</f>
        <v>Current at peak voltage</v>
      </c>
      <c r="B83" s="63" t="str">
        <f>Circuit!B15</f>
        <v>amp</v>
      </c>
      <c r="C83" s="60">
        <f>Circuit!C15</f>
        <v>5085.324350612276</v>
      </c>
    </row>
    <row r="84" spans="1:3" ht="15.75">
      <c r="A84" s="54" t="str">
        <f>Circuit!A16</f>
        <v>Power supply regulation at full load</v>
      </c>
      <c r="B84" s="63"/>
      <c r="C84" s="59">
        <f>Circuit!C16</f>
        <v>0.2</v>
      </c>
    </row>
    <row r="85" spans="1:3" ht="15.75">
      <c r="A85" s="54" t="str">
        <f>Circuit!A17</f>
        <v>Power supply regulation at current at peak voltage</v>
      </c>
      <c r="B85" s="63"/>
      <c r="C85" s="59">
        <f>Circuit!C17</f>
        <v>0.06780432467483036</v>
      </c>
    </row>
    <row r="86" spans="1:3" ht="15.75">
      <c r="A86" s="54" t="str">
        <f>Circuit!A18</f>
        <v>Min power supply no-load voltage</v>
      </c>
      <c r="B86" s="63"/>
      <c r="C86" s="60">
        <f>Circuit!C18</f>
        <v>127.65343221745404</v>
      </c>
    </row>
    <row r="87" spans="1:3" ht="15.75">
      <c r="A87" s="54" t="str">
        <f>Circuit!A19</f>
        <v>Selected PS voltage</v>
      </c>
      <c r="B87" s="63"/>
      <c r="C87" s="68">
        <f>Circuit!C19</f>
        <v>180</v>
      </c>
    </row>
    <row r="88" spans="1:3" ht="15.75">
      <c r="A88" s="54" t="str">
        <f>Circuit!A20</f>
        <v>Active power</v>
      </c>
      <c r="B88" s="63" t="str">
        <f>Circuit!B20</f>
        <v>watt</v>
      </c>
      <c r="C88" s="61">
        <f>Circuit!C20</f>
        <v>302571.65620901156</v>
      </c>
    </row>
    <row r="89" spans="1:3" ht="15.75">
      <c r="A89" s="54" t="str">
        <f>Circuit!A21</f>
        <v>Apparent power</v>
      </c>
      <c r="B89" s="63" t="str">
        <f>Circuit!B21</f>
        <v>volt-amp</v>
      </c>
      <c r="C89" s="61">
        <f>Circuit!C21</f>
        <v>2699999.9999999995</v>
      </c>
    </row>
    <row r="90" spans="1:3" ht="15.75">
      <c r="A90" s="54" t="str">
        <f>Circuit!A22</f>
        <v>Reactive power</v>
      </c>
      <c r="B90" s="63" t="str">
        <f>Circuit!B22</f>
        <v>volt-amp-reactive</v>
      </c>
      <c r="C90" s="61">
        <f>Circuit!C22</f>
        <v>2682992.805219375</v>
      </c>
    </row>
    <row r="91" spans="1:3" ht="16.5" thickBot="1">
      <c r="A91" s="55" t="str">
        <f>Circuit!A23</f>
        <v>Net power factor</v>
      </c>
      <c r="B91" s="64"/>
      <c r="C91" s="83">
        <f>Circuit!C23</f>
        <v>0.11206357637370801</v>
      </c>
    </row>
    <row r="92" spans="1:3" ht="16.5" thickBot="1">
      <c r="A92" s="75" t="str">
        <f>Circuit!A24</f>
        <v>DC Mode</v>
      </c>
      <c r="B92" s="65"/>
      <c r="C92" s="76"/>
    </row>
    <row r="93" spans="1:3" ht="15.75">
      <c r="A93" s="53" t="str">
        <f>Circuit!A25</f>
        <v>Voltage drop</v>
      </c>
      <c r="B93" s="62" t="str">
        <f>Circuit!B25</f>
        <v>volt</v>
      </c>
      <c r="C93" s="74">
        <f>Circuit!C25</f>
        <v>40.34288749453488</v>
      </c>
    </row>
    <row r="94" spans="1:3" ht="15.75">
      <c r="A94" s="54" t="str">
        <f>Circuit!A26</f>
        <v>Active power</v>
      </c>
      <c r="B94" s="63" t="str">
        <f>Circuit!B26</f>
        <v>watt</v>
      </c>
      <c r="C94" s="61">
        <f>Circuit!C26</f>
        <v>605143.3124180231</v>
      </c>
    </row>
    <row r="95" spans="1:3" ht="15.75">
      <c r="A95" s="54" t="str">
        <f>Circuit!A27</f>
        <v>Apparent power</v>
      </c>
      <c r="B95" s="63" t="str">
        <f>Circuit!B27</f>
        <v>volt-amp</v>
      </c>
      <c r="C95" s="61">
        <f>Circuit!C27</f>
        <v>2700000</v>
      </c>
    </row>
    <row r="96" spans="1:3" ht="15.75">
      <c r="A96" s="54" t="str">
        <f>Circuit!A28</f>
        <v>Reactive power</v>
      </c>
      <c r="B96" s="63" t="str">
        <f>Circuit!B28</f>
        <v>volt-amp-reactive</v>
      </c>
      <c r="C96" s="61">
        <f>Circuit!C28</f>
        <v>2631311.758692942</v>
      </c>
    </row>
    <row r="97" spans="1:3" ht="16.5" thickBot="1">
      <c r="A97" s="55" t="str">
        <f>Circuit!A29</f>
        <v>Net power factor</v>
      </c>
      <c r="B97" s="64"/>
      <c r="C97" s="83">
        <f>Circuit!C29</f>
        <v>0.22412715274741596</v>
      </c>
    </row>
    <row r="98" spans="1:3" ht="16.5" thickBot="1">
      <c r="A98" s="75" t="s">
        <v>214</v>
      </c>
      <c r="B98" s="65"/>
      <c r="C98" s="77"/>
    </row>
    <row r="99" spans="1:3" ht="15.75">
      <c r="A99" s="53" t="s">
        <v>218</v>
      </c>
      <c r="B99" s="62"/>
      <c r="C99" s="86">
        <v>27</v>
      </c>
    </row>
    <row r="100" spans="1:3" ht="15.75">
      <c r="A100" s="54" t="s">
        <v>219</v>
      </c>
      <c r="B100" s="63"/>
      <c r="C100" s="87">
        <v>0.5</v>
      </c>
    </row>
    <row r="101" spans="1:3" ht="15.75">
      <c r="A101" s="54" t="s">
        <v>215</v>
      </c>
      <c r="B101" s="63" t="s">
        <v>98</v>
      </c>
      <c r="C101" s="88">
        <f>C99*C88</f>
        <v>8169434.717643312</v>
      </c>
    </row>
    <row r="102" spans="1:3" ht="15.75">
      <c r="A102" s="54" t="s">
        <v>216</v>
      </c>
      <c r="B102" s="63" t="s">
        <v>121</v>
      </c>
      <c r="C102" s="88">
        <f>C99*C90</f>
        <v>72440805.74092312</v>
      </c>
    </row>
    <row r="103" spans="1:3" ht="15.75">
      <c r="A103" s="54" t="s">
        <v>217</v>
      </c>
      <c r="B103" s="63" t="s">
        <v>122</v>
      </c>
      <c r="C103" s="88">
        <f>SQRT(C101^2+C102^2)</f>
        <v>72899999.99999997</v>
      </c>
    </row>
    <row r="104" spans="1:3" ht="15.75">
      <c r="A104" s="54" t="s">
        <v>34</v>
      </c>
      <c r="B104" s="63" t="s">
        <v>98</v>
      </c>
      <c r="C104" s="88">
        <f>C99*(Coil!C101*ELM_Design_Point!C100+Coil!C107)</f>
        <v>10027018.9863218</v>
      </c>
    </row>
    <row r="105" spans="1:3" ht="15.75">
      <c r="A105" s="54" t="s">
        <v>87</v>
      </c>
      <c r="B105" s="63" t="s">
        <v>242</v>
      </c>
      <c r="C105" s="89">
        <f>Coil!C46*Coil!C28*ELM_Design_Point!C99</f>
        <v>104.45496636650527</v>
      </c>
    </row>
    <row r="106" spans="1:3" ht="15.75">
      <c r="A106" s="91" t="s">
        <v>59</v>
      </c>
      <c r="B106" s="92" t="str">
        <f>B40</f>
        <v>MPA</v>
      </c>
      <c r="C106" s="93">
        <f>C40</f>
        <v>1.4572328648464756</v>
      </c>
    </row>
    <row r="107" spans="1:3" ht="15.75">
      <c r="A107" s="91" t="s">
        <v>63</v>
      </c>
      <c r="B107" s="92" t="str">
        <f>B38</f>
        <v>MPA</v>
      </c>
      <c r="C107" s="93">
        <f>C38</f>
        <v>0.7393488680229009</v>
      </c>
    </row>
    <row r="108" spans="1:3" ht="15.75">
      <c r="A108" s="91" t="s">
        <v>60</v>
      </c>
      <c r="B108" s="92" t="str">
        <f>B39</f>
        <v>MPA</v>
      </c>
      <c r="C108" s="93">
        <f>C39</f>
        <v>0.7178839968235748</v>
      </c>
    </row>
    <row r="109" spans="1:3" ht="15.75">
      <c r="A109" s="91" t="s">
        <v>61</v>
      </c>
      <c r="B109" s="92" t="str">
        <f>B25</f>
        <v>deg C</v>
      </c>
      <c r="C109" s="94">
        <f>C25</f>
        <v>100</v>
      </c>
    </row>
    <row r="110" spans="1:3" ht="15.75">
      <c r="A110" s="91" t="s">
        <v>62</v>
      </c>
      <c r="B110" s="92" t="str">
        <f>B36</f>
        <v>deg C</v>
      </c>
      <c r="C110" s="94">
        <f>C36</f>
        <v>139.99960605850947</v>
      </c>
    </row>
    <row r="111" spans="1:3" ht="15.75">
      <c r="A111" s="91" t="str">
        <f>Coil!E59</f>
        <v>Total Cu wetted surface to TCWS</v>
      </c>
      <c r="B111" s="95" t="str">
        <f>Coil!F59</f>
        <v>m2</v>
      </c>
      <c r="C111" s="94">
        <f>C99*Coil!G59</f>
        <v>237.4459725671485</v>
      </c>
    </row>
    <row r="112" spans="1:3" ht="15.75">
      <c r="A112" s="91" t="str">
        <f>Coil!E60</f>
        <v>Total water volume in TCWS</v>
      </c>
      <c r="B112" s="95" t="str">
        <f>Coil!F60</f>
        <v>m3</v>
      </c>
      <c r="C112" s="93">
        <f>C99*Coil!G60</f>
        <v>1.7808447942536139</v>
      </c>
    </row>
    <row r="113" spans="1:3" ht="15.75">
      <c r="A113" s="54" t="s">
        <v>27</v>
      </c>
      <c r="B113" s="63" t="s">
        <v>98</v>
      </c>
      <c r="C113" s="88">
        <f>C99*Bus_Bar!C78*Bus_Bar!C82*ELM_Design_Point!C100</f>
        <v>371396.425807313</v>
      </c>
    </row>
    <row r="114" spans="1:3" ht="16.5" thickBot="1">
      <c r="A114" s="55" t="s">
        <v>28</v>
      </c>
      <c r="B114" s="64" t="s">
        <v>242</v>
      </c>
      <c r="C114" s="90">
        <f>Bus_Bar!C93*ELM_Design_Point!C99</f>
        <v>71.36876104543758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2010-01-25T19:36:21Z</dcterms:created>
  <dcterms:modified xsi:type="dcterms:W3CDTF">2010-04-14T17:04:00Z</dcterms:modified>
  <cp:category/>
  <cp:version/>
  <cp:contentType/>
  <cp:contentStatus/>
</cp:coreProperties>
</file>